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OS 2022\LICITAÇÕES\LIXO DOMICILIAR\"/>
    </mc:Choice>
  </mc:AlternateContent>
  <bookViews>
    <workbookView xWindow="0" yWindow="0" windowWidth="21600" windowHeight="9735" tabRatio="802"/>
  </bookViews>
  <sheets>
    <sheet name="Orçamento" sheetId="14" r:id="rId1"/>
    <sheet name="Cronograma" sheetId="16" r:id="rId2"/>
    <sheet name="1.1.Coleta Resíduos Orgânicos" sheetId="11" r:id="rId3"/>
    <sheet name="1.2.Coleta Resíduos Recicláveis" sheetId="15" r:id="rId4"/>
    <sheet name="1.3.Triagem com Transbordo" sheetId="12" r:id="rId5"/>
    <sheet name="1.4.Destino final" sheetId="13" r:id="rId6"/>
    <sheet name="2.Encargos Sociais" sheetId="8" r:id="rId7"/>
    <sheet name="3.CAGED" sheetId="5" r:id="rId8"/>
    <sheet name="4.BDI" sheetId="4" r:id="rId9"/>
    <sheet name="5. Depreciação" sheetId="6" r:id="rId10"/>
    <sheet name="6.Remuneração de capital" sheetId="7" r:id="rId11"/>
    <sheet name="7. Dimensionamento" sheetId="9" r:id="rId12"/>
  </sheets>
  <externalReferences>
    <externalReference r:id="rId13"/>
  </externalReferences>
  <definedNames>
    <definedName name="AbaDeprec">'5. Depreciação'!$A$1</definedName>
    <definedName name="AbaRemun">'6.Remuneração de capital'!$A$1</definedName>
    <definedName name="_xlnm.Print_Area" localSheetId="2">'1.1.Coleta Resíduos Orgânicos'!$A$1:$F$248</definedName>
    <definedName name="_xlnm.Print_Area" localSheetId="3">'1.2.Coleta Resíduos Recicláveis'!$A$1:$F$248</definedName>
    <definedName name="_xlnm.Print_Area" localSheetId="4">'1.3.Triagem com Transbordo'!$A$1:$F$231</definedName>
    <definedName name="_xlnm.Print_Area" localSheetId="5">'1.4.Destino final'!$A$1:$F$230</definedName>
    <definedName name="_xlnm.Print_Area" localSheetId="6">'2.Encargos Sociais'!$A$1:$C$36</definedName>
    <definedName name="_xlnm.Print_Area" localSheetId="1">Cronograma!$A$1:$P$15</definedName>
    <definedName name="_xlnm.Print_Area" localSheetId="0">Orçamento!$A$1:$F$51</definedName>
    <definedName name="_xlnm.Print_Titles" localSheetId="2">'1.1.Coleta Resíduos Orgânicos'!$1:$3</definedName>
    <definedName name="_xlnm.Print_Titles" localSheetId="3">'1.2.Coleta Resíduos Recicláveis'!$1:$3</definedName>
    <definedName name="_xlnm.Print_Titles" localSheetId="4">'1.3.Triagem com Transbordo'!$1:$3</definedName>
    <definedName name="_xlnm.Print_Titles" localSheetId="5">'1.4.Destino final'!$1:$3</definedName>
    <definedName name="_xlnm.Print_Titles" localSheetId="1">Cronograma!$1:$2</definedName>
    <definedName name="_xlnm.Print_Titles" localSheetId="0">Orçamento!$1:$2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1" l="1"/>
  <c r="A47" i="15"/>
  <c r="C211" i="12"/>
  <c r="A151" i="12" l="1"/>
  <c r="C113" i="12"/>
  <c r="C83" i="12" l="1"/>
  <c r="C84" i="12"/>
  <c r="C84" i="15"/>
  <c r="E97" i="12"/>
  <c r="C96" i="12"/>
  <c r="E96" i="12" s="1"/>
  <c r="C90" i="12"/>
  <c r="E90" i="12" s="1"/>
  <c r="A90" i="12"/>
  <c r="A96" i="12" s="1"/>
  <c r="A89" i="12"/>
  <c r="A95" i="12" s="1"/>
  <c r="C83" i="11"/>
  <c r="A14" i="12"/>
  <c r="A15" i="12"/>
  <c r="A37" i="12"/>
  <c r="A36" i="12"/>
  <c r="E63" i="12"/>
  <c r="A63" i="12"/>
  <c r="E55" i="12"/>
  <c r="D83" i="12" s="1"/>
  <c r="E83" i="12" s="1"/>
  <c r="D58" i="12" l="1"/>
  <c r="E58" i="12" s="1"/>
  <c r="E59" i="12" s="1"/>
  <c r="D60" i="12" s="1"/>
  <c r="D176" i="12"/>
  <c r="D174" i="12"/>
  <c r="D172" i="12"/>
  <c r="D170" i="12"/>
  <c r="D168" i="12"/>
  <c r="C168" i="12"/>
  <c r="C170" i="12" s="1"/>
  <c r="D177" i="12" l="1"/>
  <c r="E170" i="12"/>
  <c r="C174" i="12"/>
  <c r="E174" i="12" s="1"/>
  <c r="E168" i="12"/>
  <c r="C172" i="12"/>
  <c r="E172" i="12" s="1"/>
  <c r="C176" i="12"/>
  <c r="E176" i="12" s="1"/>
  <c r="E38" i="12" l="1"/>
  <c r="A45" i="13"/>
  <c r="A46" i="13"/>
  <c r="A47" i="11"/>
  <c r="D153" i="13"/>
  <c r="D140" i="13" l="1"/>
  <c r="E140" i="13" s="1"/>
  <c r="C123" i="13"/>
  <c r="E119" i="13"/>
  <c r="A155" i="13"/>
  <c r="E155" i="13"/>
  <c r="C34" i="8"/>
  <c r="C60" i="12" s="1"/>
  <c r="E60" i="12" s="1"/>
  <c r="E61" i="12" s="1"/>
  <c r="D62" i="12" s="1"/>
  <c r="E62" i="12" s="1"/>
  <c r="F63" i="12" s="1"/>
  <c r="E14" i="12" s="1"/>
  <c r="C14" i="8"/>
  <c r="C62" i="11" l="1"/>
  <c r="D122" i="13"/>
  <c r="A193" i="12"/>
  <c r="E190" i="12"/>
  <c r="E189" i="12"/>
  <c r="E187" i="12"/>
  <c r="E186" i="12"/>
  <c r="D191" i="12" l="1"/>
  <c r="E191" i="12" s="1"/>
  <c r="D192" i="12" s="1"/>
  <c r="D151" i="13" l="1"/>
  <c r="C151" i="13"/>
  <c r="E47" i="12"/>
  <c r="C11" i="9"/>
  <c r="C131" i="11"/>
  <c r="C118" i="11"/>
  <c r="C84" i="11"/>
  <c r="C186" i="11" l="1"/>
  <c r="C186" i="15"/>
  <c r="C163" i="13"/>
  <c r="E92" i="11" l="1"/>
  <c r="D167" i="13"/>
  <c r="C167" i="13"/>
  <c r="A27" i="11" l="1"/>
  <c r="C192" i="12" l="1"/>
  <c r="E192" i="12" s="1"/>
  <c r="F193" i="12" s="1"/>
  <c r="C188" i="15"/>
  <c r="D186" i="15"/>
  <c r="E76" i="13"/>
  <c r="A41" i="12"/>
  <c r="A4" i="16" l="1"/>
  <c r="B15" i="16"/>
  <c r="A48" i="14" l="1"/>
  <c r="B14" i="16" s="1"/>
  <c r="A47" i="14"/>
  <c r="B13" i="16" s="1"/>
  <c r="C23" i="4"/>
  <c r="B28" i="4" s="1"/>
  <c r="C223" i="13" s="1"/>
  <c r="F21" i="4"/>
  <c r="E21" i="4"/>
  <c r="D21" i="4"/>
  <c r="D58" i="15"/>
  <c r="E58" i="15" s="1"/>
  <c r="J12" i="12"/>
  <c r="A34" i="13"/>
  <c r="A215" i="13"/>
  <c r="C85" i="15"/>
  <c r="A242" i="15" l="1"/>
  <c r="E232" i="15"/>
  <c r="A232" i="15"/>
  <c r="C228" i="15"/>
  <c r="C230" i="15" s="1"/>
  <c r="E230" i="15" s="1"/>
  <c r="D231" i="15" s="1"/>
  <c r="E231" i="15" s="1"/>
  <c r="A221" i="15"/>
  <c r="E220" i="15"/>
  <c r="E219" i="15"/>
  <c r="E218" i="15"/>
  <c r="A210" i="15"/>
  <c r="C209" i="15"/>
  <c r="C207" i="15"/>
  <c r="E207" i="15" s="1"/>
  <c r="E205" i="15"/>
  <c r="A201" i="15"/>
  <c r="A196" i="15"/>
  <c r="D194" i="15"/>
  <c r="D192" i="15"/>
  <c r="D190" i="15"/>
  <c r="D188" i="15"/>
  <c r="C192" i="15"/>
  <c r="E178" i="15"/>
  <c r="A178" i="15"/>
  <c r="D176" i="15"/>
  <c r="C176" i="15"/>
  <c r="C175" i="15"/>
  <c r="D174" i="15"/>
  <c r="C174" i="15"/>
  <c r="E170" i="15"/>
  <c r="A170" i="15"/>
  <c r="C169" i="15"/>
  <c r="D163" i="15"/>
  <c r="D158" i="15"/>
  <c r="E158" i="15" s="1"/>
  <c r="E154" i="15"/>
  <c r="A154" i="15"/>
  <c r="C151" i="15"/>
  <c r="C150" i="15"/>
  <c r="C147" i="15"/>
  <c r="E147" i="15" s="1"/>
  <c r="C146" i="15"/>
  <c r="C145" i="15"/>
  <c r="E142" i="15"/>
  <c r="E132" i="15"/>
  <c r="E130" i="15"/>
  <c r="D129" i="15"/>
  <c r="E129" i="15" s="1"/>
  <c r="D128" i="15"/>
  <c r="E128" i="15" s="1"/>
  <c r="D127" i="15"/>
  <c r="E127" i="15" s="1"/>
  <c r="D126" i="15"/>
  <c r="E126" i="15" s="1"/>
  <c r="D125" i="15"/>
  <c r="E125" i="15" s="1"/>
  <c r="D124" i="15"/>
  <c r="E124" i="15" s="1"/>
  <c r="E119" i="15"/>
  <c r="E117" i="15"/>
  <c r="E116" i="15"/>
  <c r="E115" i="15"/>
  <c r="E114" i="15"/>
  <c r="E113" i="15"/>
  <c r="E112" i="15"/>
  <c r="E111" i="15"/>
  <c r="E110" i="15"/>
  <c r="E109" i="15"/>
  <c r="E108" i="15"/>
  <c r="E107" i="15"/>
  <c r="E98" i="15"/>
  <c r="A91" i="15"/>
  <c r="A97" i="15" s="1"/>
  <c r="A90" i="15"/>
  <c r="A96" i="15" s="1"/>
  <c r="E78" i="15"/>
  <c r="E70" i="15"/>
  <c r="E65" i="15"/>
  <c r="D59" i="15"/>
  <c r="E59" i="15" s="1"/>
  <c r="E57" i="15"/>
  <c r="D84" i="15" s="1"/>
  <c r="E48" i="15"/>
  <c r="E43" i="15"/>
  <c r="A43" i="15"/>
  <c r="E42" i="15"/>
  <c r="A42" i="15"/>
  <c r="A36" i="15"/>
  <c r="A35" i="15"/>
  <c r="A34" i="15"/>
  <c r="A33" i="15"/>
  <c r="A30" i="14" s="1"/>
  <c r="A32" i="15"/>
  <c r="A29" i="14" s="1"/>
  <c r="A31" i="15"/>
  <c r="A28" i="14" s="1"/>
  <c r="A30" i="15"/>
  <c r="A27" i="14" s="1"/>
  <c r="A29" i="15"/>
  <c r="A26" i="14" s="1"/>
  <c r="A28" i="15"/>
  <c r="A25" i="14" s="1"/>
  <c r="A27" i="15"/>
  <c r="A24" i="14" s="1"/>
  <c r="A26" i="15"/>
  <c r="A25" i="15"/>
  <c r="A24" i="15"/>
  <c r="A23" i="15"/>
  <c r="A22" i="15"/>
  <c r="A21" i="15"/>
  <c r="A20" i="15"/>
  <c r="A19" i="15"/>
  <c r="C96" i="11" l="1"/>
  <c r="C89" i="11"/>
  <c r="E175" i="15"/>
  <c r="C91" i="15"/>
  <c r="E91" i="15" s="1"/>
  <c r="C97" i="15"/>
  <c r="E97" i="15" s="1"/>
  <c r="C131" i="15"/>
  <c r="C118" i="15"/>
  <c r="C90" i="15"/>
  <c r="E90" i="15" s="1"/>
  <c r="C96" i="15"/>
  <c r="E96" i="15" s="1"/>
  <c r="E186" i="15"/>
  <c r="C160" i="15"/>
  <c r="E176" i="15"/>
  <c r="E188" i="15"/>
  <c r="D145" i="15"/>
  <c r="E145" i="15" s="1"/>
  <c r="F221" i="15"/>
  <c r="F223" i="15" s="1"/>
  <c r="E34" i="15" s="1"/>
  <c r="D85" i="15"/>
  <c r="E85" i="15" s="1"/>
  <c r="D131" i="15"/>
  <c r="D73" i="15"/>
  <c r="E73" i="15" s="1"/>
  <c r="E74" i="15" s="1"/>
  <c r="E192" i="15"/>
  <c r="E228" i="15"/>
  <c r="D229" i="15" s="1"/>
  <c r="E229" i="15" s="1"/>
  <c r="F232" i="15" s="1"/>
  <c r="F234" i="15" s="1"/>
  <c r="E35" i="15" s="1"/>
  <c r="D118" i="15"/>
  <c r="C190" i="15"/>
  <c r="E190" i="15" s="1"/>
  <c r="D208" i="15"/>
  <c r="E208" i="15" s="1"/>
  <c r="D209" i="15" s="1"/>
  <c r="E209" i="15" s="1"/>
  <c r="F210" i="15" s="1"/>
  <c r="E33" i="15" s="1"/>
  <c r="E30" i="14" s="1"/>
  <c r="E174" i="15"/>
  <c r="D195" i="15"/>
  <c r="C200" i="15"/>
  <c r="E200" i="15" s="1"/>
  <c r="F201" i="15" s="1"/>
  <c r="E32" i="15" s="1"/>
  <c r="E29" i="14" s="1"/>
  <c r="D150" i="15"/>
  <c r="E150" i="15" s="1"/>
  <c r="D151" i="15" s="1"/>
  <c r="E151" i="15" s="1"/>
  <c r="C165" i="15"/>
  <c r="C163" i="15"/>
  <c r="E163" i="15" s="1"/>
  <c r="E44" i="15"/>
  <c r="D60" i="15"/>
  <c r="E60" i="15" s="1"/>
  <c r="E61" i="15" s="1"/>
  <c r="C194" i="15"/>
  <c r="E194" i="15" s="1"/>
  <c r="A224" i="13"/>
  <c r="A207" i="13"/>
  <c r="A196" i="13"/>
  <c r="A186" i="13"/>
  <c r="A178" i="13"/>
  <c r="A173" i="13"/>
  <c r="A147" i="13"/>
  <c r="A126" i="13"/>
  <c r="A99" i="13"/>
  <c r="A82" i="13"/>
  <c r="A77" i="13"/>
  <c r="A72" i="13"/>
  <c r="A64" i="13"/>
  <c r="A225" i="12"/>
  <c r="A215" i="12"/>
  <c r="A204" i="12"/>
  <c r="A183" i="12"/>
  <c r="A178" i="12"/>
  <c r="A160" i="12"/>
  <c r="A152" i="12"/>
  <c r="A136" i="12"/>
  <c r="A114" i="12"/>
  <c r="A76" i="12"/>
  <c r="D177" i="15" l="1"/>
  <c r="E177" i="15" s="1"/>
  <c r="F178" i="15" s="1"/>
  <c r="E30" i="15" s="1"/>
  <c r="E27" i="14" s="1"/>
  <c r="E131" i="15"/>
  <c r="F132" i="15" s="1"/>
  <c r="E118" i="15"/>
  <c r="F119" i="15" s="1"/>
  <c r="F196" i="15"/>
  <c r="E31" i="15" s="1"/>
  <c r="F92" i="15"/>
  <c r="E23" i="15" s="1"/>
  <c r="D146" i="15"/>
  <c r="E146" i="15" s="1"/>
  <c r="E152" i="15" s="1"/>
  <c r="D153" i="15" s="1"/>
  <c r="E153" i="15" s="1"/>
  <c r="F154" i="15" s="1"/>
  <c r="E28" i="15" s="1"/>
  <c r="E25" i="14" s="1"/>
  <c r="C161" i="15"/>
  <c r="D162" i="15" s="1"/>
  <c r="E162" i="15" s="1"/>
  <c r="D75" i="15"/>
  <c r="C166" i="15"/>
  <c r="D167" i="15" s="1"/>
  <c r="E167" i="15" s="1"/>
  <c r="D62" i="15"/>
  <c r="F98" i="15"/>
  <c r="A242" i="11"/>
  <c r="A232" i="11"/>
  <c r="A221" i="11"/>
  <c r="A210" i="11"/>
  <c r="A201" i="11"/>
  <c r="A196" i="11"/>
  <c r="A178" i="11"/>
  <c r="A170" i="11"/>
  <c r="A154" i="11"/>
  <c r="E98" i="11"/>
  <c r="E119" i="11"/>
  <c r="E109" i="13"/>
  <c r="D112" i="13" s="1"/>
  <c r="E207" i="13"/>
  <c r="C203" i="13"/>
  <c r="E203" i="13" s="1"/>
  <c r="D204" i="13" s="1"/>
  <c r="E204" i="13" s="1"/>
  <c r="E195" i="13"/>
  <c r="E194" i="13"/>
  <c r="C185" i="13"/>
  <c r="C183" i="13"/>
  <c r="E183" i="13" s="1"/>
  <c r="E181" i="13"/>
  <c r="D171" i="13"/>
  <c r="D169" i="13"/>
  <c r="D165" i="13"/>
  <c r="D163" i="13"/>
  <c r="C165" i="13"/>
  <c r="C153" i="13"/>
  <c r="E147" i="13"/>
  <c r="C146" i="13"/>
  <c r="A146" i="13"/>
  <c r="D135" i="13"/>
  <c r="C135" i="13"/>
  <c r="C152" i="13" s="1"/>
  <c r="D130" i="13"/>
  <c r="E130" i="13" s="1"/>
  <c r="E126" i="13"/>
  <c r="C118" i="13"/>
  <c r="C117" i="13"/>
  <c r="C122" i="13" s="1"/>
  <c r="E114" i="13"/>
  <c r="D117" i="13" s="1"/>
  <c r="C113" i="13"/>
  <c r="C112" i="13"/>
  <c r="E99" i="13"/>
  <c r="E97" i="13"/>
  <c r="E82" i="13"/>
  <c r="A76" i="13"/>
  <c r="A81" i="13" s="1"/>
  <c r="C71" i="13"/>
  <c r="E64" i="13"/>
  <c r="E56" i="13"/>
  <c r="D71" i="13" s="1"/>
  <c r="E46" i="13"/>
  <c r="E41" i="13"/>
  <c r="C81" i="13" s="1"/>
  <c r="E81" i="13" s="1"/>
  <c r="A41" i="13"/>
  <c r="A35" i="13"/>
  <c r="A33" i="13"/>
  <c r="A32" i="13"/>
  <c r="A31" i="13"/>
  <c r="A44" i="14" s="1"/>
  <c r="A30" i="13"/>
  <c r="A43" i="14" s="1"/>
  <c r="A29" i="13"/>
  <c r="A42" i="14" s="1"/>
  <c r="A28" i="13"/>
  <c r="A41" i="14" s="1"/>
  <c r="A27" i="13"/>
  <c r="A40" i="14" s="1"/>
  <c r="A26" i="13"/>
  <c r="A39" i="14" s="1"/>
  <c r="A25" i="13"/>
  <c r="A38" i="14" s="1"/>
  <c r="A24" i="13"/>
  <c r="A23" i="13"/>
  <c r="A22" i="13"/>
  <c r="A21" i="13"/>
  <c r="A20" i="13"/>
  <c r="A19" i="13"/>
  <c r="A18" i="13"/>
  <c r="E122" i="13" l="1"/>
  <c r="D123" i="13" s="1"/>
  <c r="E123" i="13" s="1"/>
  <c r="C142" i="13"/>
  <c r="D59" i="13"/>
  <c r="E59" i="13" s="1"/>
  <c r="E60" i="13" s="1"/>
  <c r="D61" i="13" s="1"/>
  <c r="F134" i="15"/>
  <c r="E25" i="15" s="1"/>
  <c r="E28" i="14"/>
  <c r="E168" i="15"/>
  <c r="D169" i="15" s="1"/>
  <c r="E169" i="15" s="1"/>
  <c r="F170" i="15" s="1"/>
  <c r="E29" i="15" s="1"/>
  <c r="E26" i="14" s="1"/>
  <c r="E24" i="15"/>
  <c r="E117" i="13"/>
  <c r="D118" i="13" s="1"/>
  <c r="E118" i="13" s="1"/>
  <c r="E151" i="13"/>
  <c r="D184" i="13"/>
  <c r="E184" i="13" s="1"/>
  <c r="D185" i="13" s="1"/>
  <c r="E185" i="13" s="1"/>
  <c r="F186" i="13" s="1"/>
  <c r="E31" i="13" s="1"/>
  <c r="E44" i="14" s="1"/>
  <c r="E135" i="13"/>
  <c r="E152" i="13"/>
  <c r="E112" i="13"/>
  <c r="D113" i="13" s="1"/>
  <c r="E113" i="13" s="1"/>
  <c r="C98" i="13"/>
  <c r="E42" i="13"/>
  <c r="F77" i="13"/>
  <c r="E21" i="13" s="1"/>
  <c r="F82" i="13"/>
  <c r="E22" i="13" s="1"/>
  <c r="E165" i="13"/>
  <c r="E153" i="13"/>
  <c r="D172" i="13"/>
  <c r="F196" i="13"/>
  <c r="F198" i="13" s="1"/>
  <c r="E32" i="13" s="1"/>
  <c r="C137" i="13"/>
  <c r="C169" i="13"/>
  <c r="E169" i="13" s="1"/>
  <c r="C177" i="13"/>
  <c r="E177" i="13" s="1"/>
  <c r="F178" i="13" s="1"/>
  <c r="E30" i="13" s="1"/>
  <c r="E43" i="14" s="1"/>
  <c r="C205" i="13"/>
  <c r="E205" i="13" s="1"/>
  <c r="D206" i="13" s="1"/>
  <c r="E206" i="13" s="1"/>
  <c r="F207" i="13" s="1"/>
  <c r="F209" i="13" s="1"/>
  <c r="E33" i="13" s="1"/>
  <c r="C132" i="13"/>
  <c r="C171" i="13"/>
  <c r="E171" i="13" s="1"/>
  <c r="E163" i="13"/>
  <c r="E167" i="13"/>
  <c r="E215" i="12"/>
  <c r="E211" i="12"/>
  <c r="D212" i="12" s="1"/>
  <c r="E212" i="12" s="1"/>
  <c r="E203" i="12"/>
  <c r="E202" i="12"/>
  <c r="E201" i="12"/>
  <c r="E160" i="12"/>
  <c r="D158" i="12"/>
  <c r="D156" i="12"/>
  <c r="E152" i="12"/>
  <c r="C151" i="12"/>
  <c r="D140" i="12"/>
  <c r="E140" i="12" s="1"/>
  <c r="E136" i="12"/>
  <c r="C133" i="12"/>
  <c r="C132" i="12"/>
  <c r="C145" i="12"/>
  <c r="C128" i="12"/>
  <c r="C127" i="12"/>
  <c r="E124" i="12"/>
  <c r="E114" i="12"/>
  <c r="E112" i="12"/>
  <c r="E76" i="12"/>
  <c r="E68" i="12"/>
  <c r="D84" i="12" s="1"/>
  <c r="E84" i="12" s="1"/>
  <c r="F85" i="12" s="1"/>
  <c r="E41" i="12"/>
  <c r="A30" i="12"/>
  <c r="A29" i="12"/>
  <c r="A28" i="12"/>
  <c r="A27" i="12"/>
  <c r="A37" i="14" s="1"/>
  <c r="A26" i="12"/>
  <c r="A36" i="14" s="1"/>
  <c r="A25" i="12"/>
  <c r="A35" i="14" s="1"/>
  <c r="A24" i="12"/>
  <c r="A34" i="14" s="1"/>
  <c r="A23" i="12"/>
  <c r="A33" i="14" s="1"/>
  <c r="A22" i="12"/>
  <c r="A32" i="14" s="1"/>
  <c r="A21" i="12"/>
  <c r="A31" i="14" s="1"/>
  <c r="A20" i="12"/>
  <c r="A19" i="12"/>
  <c r="A18" i="12"/>
  <c r="A17" i="12"/>
  <c r="A16" i="12"/>
  <c r="A13" i="12"/>
  <c r="D58" i="11"/>
  <c r="E58" i="11" s="1"/>
  <c r="D59" i="11" s="1"/>
  <c r="E59" i="11" s="1"/>
  <c r="E232" i="11"/>
  <c r="E228" i="11"/>
  <c r="D229" i="11" s="1"/>
  <c r="E229" i="11" s="1"/>
  <c r="E220" i="11"/>
  <c r="E219" i="11"/>
  <c r="E218" i="11"/>
  <c r="C207" i="11"/>
  <c r="E207" i="11" s="1"/>
  <c r="E205" i="11"/>
  <c r="D194" i="11"/>
  <c r="D192" i="11"/>
  <c r="D190" i="11"/>
  <c r="D188" i="11"/>
  <c r="D186" i="11"/>
  <c r="C209" i="11"/>
  <c r="E178" i="11"/>
  <c r="D176" i="11"/>
  <c r="D174" i="11"/>
  <c r="E170" i="11"/>
  <c r="D163" i="11"/>
  <c r="D158" i="11"/>
  <c r="E158" i="11" s="1"/>
  <c r="E154" i="11"/>
  <c r="C151" i="11"/>
  <c r="C150" i="11"/>
  <c r="C147" i="11"/>
  <c r="E147" i="11" s="1"/>
  <c r="C146" i="11"/>
  <c r="C145" i="11"/>
  <c r="E142" i="11"/>
  <c r="E132" i="11"/>
  <c r="E130" i="11"/>
  <c r="D129" i="11"/>
  <c r="D128" i="11"/>
  <c r="D127" i="11"/>
  <c r="D126" i="11"/>
  <c r="D125" i="11"/>
  <c r="D124" i="11"/>
  <c r="E117" i="11"/>
  <c r="E116" i="11"/>
  <c r="E115" i="11"/>
  <c r="E114" i="11"/>
  <c r="E113" i="11"/>
  <c r="E112" i="11"/>
  <c r="E111" i="11"/>
  <c r="E110" i="11"/>
  <c r="E109" i="11"/>
  <c r="E108" i="11"/>
  <c r="E107" i="11"/>
  <c r="A90" i="11"/>
  <c r="A97" i="11" s="1"/>
  <c r="A89" i="11"/>
  <c r="A96" i="11" s="1"/>
  <c r="E77" i="11"/>
  <c r="E69" i="11"/>
  <c r="D84" i="11" s="1"/>
  <c r="E65" i="11"/>
  <c r="E57" i="11"/>
  <c r="A43" i="11"/>
  <c r="A42" i="11"/>
  <c r="A36" i="11"/>
  <c r="A35" i="11"/>
  <c r="A46" i="14" s="1"/>
  <c r="B12" i="16" s="1"/>
  <c r="A34" i="11"/>
  <c r="A45" i="14" s="1"/>
  <c r="B11" i="16" s="1"/>
  <c r="A33" i="11"/>
  <c r="A23" i="14" s="1"/>
  <c r="A32" i="11"/>
  <c r="A22" i="14" s="1"/>
  <c r="A31" i="11"/>
  <c r="A21" i="14" s="1"/>
  <c r="A30" i="11"/>
  <c r="A20" i="14" s="1"/>
  <c r="A29" i="11"/>
  <c r="A19" i="14" s="1"/>
  <c r="A28" i="11"/>
  <c r="A18" i="14" s="1"/>
  <c r="A17" i="14"/>
  <c r="A26" i="11"/>
  <c r="A16" i="14" s="1"/>
  <c r="B10" i="16" s="1"/>
  <c r="A25" i="11"/>
  <c r="A15" i="14" s="1"/>
  <c r="B9" i="16" s="1"/>
  <c r="A24" i="11"/>
  <c r="A14" i="14" s="1"/>
  <c r="A23" i="11"/>
  <c r="A13" i="14" s="1"/>
  <c r="A22" i="11"/>
  <c r="A12" i="14" s="1"/>
  <c r="A21" i="11"/>
  <c r="A11" i="14" s="1"/>
  <c r="A20" i="11"/>
  <c r="A10" i="14" s="1"/>
  <c r="A19" i="11"/>
  <c r="A9" i="14" s="1"/>
  <c r="B8" i="16" s="1"/>
  <c r="C89" i="12" l="1"/>
  <c r="E89" i="12" s="1"/>
  <c r="F91" i="12" s="1"/>
  <c r="C95" i="12"/>
  <c r="E95" i="12" s="1"/>
  <c r="F97" i="12" s="1"/>
  <c r="E124" i="13"/>
  <c r="C142" i="12"/>
  <c r="C143" i="13"/>
  <c r="D144" i="13" s="1"/>
  <c r="E144" i="13" s="1"/>
  <c r="D154" i="13"/>
  <c r="E154" i="13" s="1"/>
  <c r="F155" i="13" s="1"/>
  <c r="E28" i="13" s="1"/>
  <c r="E41" i="14" s="1"/>
  <c r="C138" i="13"/>
  <c r="D139" i="13" s="1"/>
  <c r="E139" i="13" s="1"/>
  <c r="C133" i="13"/>
  <c r="D134" i="13" s="1"/>
  <c r="E134" i="13" s="1"/>
  <c r="C97" i="11"/>
  <c r="C90" i="11"/>
  <c r="E90" i="11" s="1"/>
  <c r="E127" i="11"/>
  <c r="E94" i="13"/>
  <c r="E109" i="12"/>
  <c r="E124" i="11"/>
  <c r="D106" i="12"/>
  <c r="E106" i="12" s="1"/>
  <c r="D91" i="13"/>
  <c r="E91" i="13" s="1"/>
  <c r="E128" i="11"/>
  <c r="D95" i="13"/>
  <c r="E95" i="13" s="1"/>
  <c r="D110" i="12"/>
  <c r="E110" i="12" s="1"/>
  <c r="E126" i="11"/>
  <c r="D108" i="12"/>
  <c r="E108" i="12" s="1"/>
  <c r="D93" i="13"/>
  <c r="E93" i="13" s="1"/>
  <c r="E125" i="11"/>
  <c r="D107" i="12"/>
  <c r="E107" i="12" s="1"/>
  <c r="D92" i="13"/>
  <c r="E92" i="13" s="1"/>
  <c r="E129" i="11"/>
  <c r="E96" i="13"/>
  <c r="E111" i="12"/>
  <c r="E27" i="12"/>
  <c r="E37" i="14" s="1"/>
  <c r="E27" i="15"/>
  <c r="E24" i="14"/>
  <c r="F213" i="15"/>
  <c r="E26" i="15" s="1"/>
  <c r="D125" i="13"/>
  <c r="E125" i="13" s="1"/>
  <c r="F126" i="13" s="1"/>
  <c r="F173" i="13"/>
  <c r="E17" i="12"/>
  <c r="E145" i="12"/>
  <c r="E157" i="12"/>
  <c r="E129" i="12"/>
  <c r="C147" i="12" s="1"/>
  <c r="E158" i="12"/>
  <c r="F204" i="12"/>
  <c r="F206" i="12" s="1"/>
  <c r="E28" i="12" s="1"/>
  <c r="D71" i="12"/>
  <c r="E71" i="12" s="1"/>
  <c r="E72" i="12" s="1"/>
  <c r="E156" i="12"/>
  <c r="E16" i="12"/>
  <c r="D127" i="12"/>
  <c r="E127" i="12" s="1"/>
  <c r="C182" i="12"/>
  <c r="E182" i="12" s="1"/>
  <c r="F183" i="12" s="1"/>
  <c r="E26" i="12" s="1"/>
  <c r="E36" i="14" s="1"/>
  <c r="C213" i="12"/>
  <c r="E213" i="12" s="1"/>
  <c r="D214" i="12" s="1"/>
  <c r="E214" i="12" s="1"/>
  <c r="F215" i="12" s="1"/>
  <c r="F217" i="12" s="1"/>
  <c r="E29" i="12" s="1"/>
  <c r="C160" i="11"/>
  <c r="E174" i="11"/>
  <c r="E97" i="11"/>
  <c r="E176" i="11"/>
  <c r="E175" i="11"/>
  <c r="F221" i="11"/>
  <c r="F223" i="11" s="1"/>
  <c r="E34" i="11" s="1"/>
  <c r="D118" i="11"/>
  <c r="D195" i="11"/>
  <c r="D208" i="11"/>
  <c r="E208" i="11" s="1"/>
  <c r="D209" i="11" s="1"/>
  <c r="E209" i="11" s="1"/>
  <c r="F210" i="11" s="1"/>
  <c r="E33" i="11" s="1"/>
  <c r="E23" i="14" s="1"/>
  <c r="D72" i="11"/>
  <c r="E72" i="11" s="1"/>
  <c r="E73" i="11" s="1"/>
  <c r="E84" i="11"/>
  <c r="C165" i="11"/>
  <c r="D150" i="11"/>
  <c r="E150" i="11" s="1"/>
  <c r="D151" i="11" s="1"/>
  <c r="E151" i="11" s="1"/>
  <c r="D60" i="11"/>
  <c r="E60" i="11" s="1"/>
  <c r="E61" i="11" s="1"/>
  <c r="E89" i="11"/>
  <c r="D145" i="11"/>
  <c r="E145" i="11" s="1"/>
  <c r="C163" i="11"/>
  <c r="E163" i="11" s="1"/>
  <c r="E96" i="11"/>
  <c r="D83" i="11"/>
  <c r="E83" i="11" s="1"/>
  <c r="E230" i="11"/>
  <c r="D231" i="11" s="1"/>
  <c r="E231" i="11" s="1"/>
  <c r="F232" i="11" s="1"/>
  <c r="F234" i="11" s="1"/>
  <c r="E35" i="11" s="1"/>
  <c r="E44" i="11"/>
  <c r="C143" i="12" l="1"/>
  <c r="E145" i="13"/>
  <c r="D146" i="13" s="1"/>
  <c r="E146" i="13" s="1"/>
  <c r="D131" i="11"/>
  <c r="E131" i="11" s="1"/>
  <c r="F132" i="11" s="1"/>
  <c r="E45" i="14"/>
  <c r="E11" i="16" s="1"/>
  <c r="M11" i="16" s="1"/>
  <c r="D113" i="12"/>
  <c r="E113" i="12" s="1"/>
  <c r="F114" i="12" s="1"/>
  <c r="F98" i="11"/>
  <c r="E118" i="11"/>
  <c r="F119" i="11" s="1"/>
  <c r="D98" i="13"/>
  <c r="E98" i="13" s="1"/>
  <c r="F99" i="13" s="1"/>
  <c r="F101" i="13" s="1"/>
  <c r="E23" i="13" s="1"/>
  <c r="E91" i="11"/>
  <c r="F92" i="11" s="1"/>
  <c r="E23" i="11" s="1"/>
  <c r="E13" i="14" s="1"/>
  <c r="E46" i="14"/>
  <c r="E12" i="16" s="1"/>
  <c r="F12" i="16" s="1"/>
  <c r="F85" i="11"/>
  <c r="E22" i="11" s="1"/>
  <c r="E26" i="13"/>
  <c r="E39" i="14" s="1"/>
  <c r="D159" i="12"/>
  <c r="E159" i="12" s="1"/>
  <c r="F160" i="12" s="1"/>
  <c r="E24" i="12" s="1"/>
  <c r="E34" i="14" s="1"/>
  <c r="E29" i="13"/>
  <c r="E42" i="14" s="1"/>
  <c r="D132" i="12"/>
  <c r="E132" i="12" s="1"/>
  <c r="D133" i="12" s="1"/>
  <c r="E133" i="12" s="1"/>
  <c r="D73" i="12"/>
  <c r="F178" i="12"/>
  <c r="E25" i="12" s="1"/>
  <c r="E35" i="14" s="1"/>
  <c r="D128" i="12"/>
  <c r="E128" i="12" s="1"/>
  <c r="D144" i="12"/>
  <c r="E144" i="12" s="1"/>
  <c r="E18" i="12"/>
  <c r="D177" i="11"/>
  <c r="E177" i="11" s="1"/>
  <c r="F178" i="11" s="1"/>
  <c r="E30" i="11" s="1"/>
  <c r="E20" i="14" s="1"/>
  <c r="C166" i="11"/>
  <c r="D167" i="11" s="1"/>
  <c r="E167" i="11" s="1"/>
  <c r="D146" i="11"/>
  <c r="E146" i="11" s="1"/>
  <c r="E152" i="11" s="1"/>
  <c r="D153" i="11" s="1"/>
  <c r="E153" i="11" s="1"/>
  <c r="F154" i="11" s="1"/>
  <c r="C161" i="11"/>
  <c r="D162" i="11" s="1"/>
  <c r="E162" i="11" s="1"/>
  <c r="D62" i="11"/>
  <c r="D74" i="11"/>
  <c r="C190" i="11"/>
  <c r="E190" i="11" s="1"/>
  <c r="E186" i="11"/>
  <c r="C188" i="11"/>
  <c r="E188" i="11" s="1"/>
  <c r="C200" i="11"/>
  <c r="E200" i="11" s="1"/>
  <c r="F201" i="11" s="1"/>
  <c r="E32" i="11" s="1"/>
  <c r="E22" i="14" s="1"/>
  <c r="C192" i="11"/>
  <c r="E192" i="11" s="1"/>
  <c r="C194" i="11"/>
  <c r="E194" i="11" s="1"/>
  <c r="F147" i="13" l="1"/>
  <c r="E27" i="13" s="1"/>
  <c r="G11" i="16"/>
  <c r="E24" i="11"/>
  <c r="E14" i="14" s="1"/>
  <c r="P11" i="16"/>
  <c r="F134" i="11"/>
  <c r="E25" i="11" s="1"/>
  <c r="J11" i="16"/>
  <c r="L11" i="16"/>
  <c r="I11" i="16"/>
  <c r="N11" i="16"/>
  <c r="H11" i="16"/>
  <c r="C11" i="16"/>
  <c r="K11" i="16"/>
  <c r="O11" i="16"/>
  <c r="F11" i="16"/>
  <c r="I12" i="16"/>
  <c r="M12" i="16"/>
  <c r="C12" i="16"/>
  <c r="K12" i="16"/>
  <c r="N12" i="16"/>
  <c r="G12" i="16"/>
  <c r="J12" i="16"/>
  <c r="L12" i="16"/>
  <c r="H12" i="16"/>
  <c r="O12" i="16"/>
  <c r="P12" i="16"/>
  <c r="F116" i="12"/>
  <c r="E19" i="12" s="1"/>
  <c r="C148" i="12"/>
  <c r="D149" i="12" s="1"/>
  <c r="E149" i="12" s="1"/>
  <c r="E150" i="12" s="1"/>
  <c r="D151" i="12" s="1"/>
  <c r="E151" i="12" s="1"/>
  <c r="E134" i="12"/>
  <c r="D135" i="12" s="1"/>
  <c r="E135" i="12" s="1"/>
  <c r="E168" i="11"/>
  <c r="D169" i="11" s="1"/>
  <c r="E169" i="11" s="1"/>
  <c r="E28" i="11"/>
  <c r="E18" i="14" s="1"/>
  <c r="F196" i="11"/>
  <c r="E31" i="11" s="1"/>
  <c r="E21" i="14" s="1"/>
  <c r="C18" i="9"/>
  <c r="C12" i="9"/>
  <c r="F189" i="13" l="1"/>
  <c r="E24" i="13" s="1"/>
  <c r="E40" i="14"/>
  <c r="E38" i="14" s="1"/>
  <c r="E25" i="13"/>
  <c r="E15" i="14"/>
  <c r="E9" i="16" s="1"/>
  <c r="H9" i="16" s="1"/>
  <c r="F170" i="11"/>
  <c r="E29" i="11" s="1"/>
  <c r="E27" i="11" s="1"/>
  <c r="E26" i="11" s="1"/>
  <c r="F136" i="12"/>
  <c r="F152" i="12"/>
  <c r="E23" i="12" s="1"/>
  <c r="C14" i="9"/>
  <c r="C19" i="9" s="1"/>
  <c r="E22" i="12" l="1"/>
  <c r="F196" i="12"/>
  <c r="E20" i="12" s="1"/>
  <c r="M9" i="16"/>
  <c r="F9" i="16"/>
  <c r="C9" i="16"/>
  <c r="O9" i="16"/>
  <c r="I9" i="16"/>
  <c r="P9" i="16"/>
  <c r="G9" i="16"/>
  <c r="K9" i="16"/>
  <c r="L9" i="16"/>
  <c r="J9" i="16"/>
  <c r="N9" i="16"/>
  <c r="F213" i="11"/>
  <c r="E21" i="12"/>
  <c r="E33" i="14"/>
  <c r="E19" i="14"/>
  <c r="E17" i="14" s="1"/>
  <c r="E32" i="14"/>
  <c r="E31" i="14" l="1"/>
  <c r="E16" i="14" s="1"/>
  <c r="E214" i="13"/>
  <c r="F215" i="13" s="1"/>
  <c r="D223" i="13" s="1"/>
  <c r="E223" i="13" s="1"/>
  <c r="E10" i="16" l="1"/>
  <c r="E34" i="13"/>
  <c r="E47" i="14" s="1"/>
  <c r="E13" i="16" s="1"/>
  <c r="L13" i="16" s="1"/>
  <c r="G13" i="16" l="1"/>
  <c r="M13" i="16"/>
  <c r="H13" i="16"/>
  <c r="I10" i="16"/>
  <c r="H10" i="16"/>
  <c r="P10" i="16"/>
  <c r="G10" i="16"/>
  <c r="K10" i="16"/>
  <c r="N10" i="16"/>
  <c r="F10" i="16"/>
  <c r="C10" i="16"/>
  <c r="J10" i="16"/>
  <c r="L10" i="16"/>
  <c r="O10" i="16"/>
  <c r="M10" i="16"/>
  <c r="N13" i="16"/>
  <c r="I13" i="16"/>
  <c r="C13" i="16"/>
  <c r="O13" i="16"/>
  <c r="J13" i="16"/>
  <c r="P13" i="16"/>
  <c r="K13" i="16"/>
  <c r="F13" i="16"/>
  <c r="C9" i="4"/>
  <c r="B14" i="4" s="1"/>
  <c r="F7" i="4"/>
  <c r="E7" i="4"/>
  <c r="D7" i="4"/>
  <c r="C34" i="5"/>
  <c r="C29" i="5"/>
  <c r="C28" i="5"/>
  <c r="C241" i="15" l="1"/>
  <c r="C222" i="13"/>
  <c r="C224" i="12"/>
  <c r="C241" i="11"/>
  <c r="G28" i="5"/>
  <c r="C39" i="5"/>
  <c r="E37" i="5"/>
  <c r="D37" i="5" s="1"/>
  <c r="D38" i="5" s="1"/>
  <c r="C38" i="5" s="1"/>
  <c r="K35" i="5" l="1"/>
  <c r="K36" i="5" s="1"/>
  <c r="K37" i="5" s="1"/>
  <c r="K38" i="5" s="1"/>
  <c r="K39" i="5" s="1"/>
  <c r="K40" i="5" s="1"/>
  <c r="K41" i="5" s="1"/>
  <c r="F37" i="5"/>
  <c r="G37" i="5" s="1"/>
  <c r="C37" i="5"/>
  <c r="G38" i="5" l="1"/>
  <c r="G32" i="5"/>
  <c r="C75" i="15" l="1"/>
  <c r="E75" i="15" s="1"/>
  <c r="E76" i="15" s="1"/>
  <c r="D77" i="15" s="1"/>
  <c r="E77" i="15" s="1"/>
  <c r="F78" i="15" s="1"/>
  <c r="C62" i="15"/>
  <c r="E62" i="15" s="1"/>
  <c r="E63" i="15" s="1"/>
  <c r="D64" i="15" s="1"/>
  <c r="E64" i="15" s="1"/>
  <c r="C61" i="13"/>
  <c r="E61" i="13" s="1"/>
  <c r="E62" i="13" s="1"/>
  <c r="D63" i="13" s="1"/>
  <c r="E63" i="13" s="1"/>
  <c r="F64" i="13" s="1"/>
  <c r="C73" i="12"/>
  <c r="E73" i="12" s="1"/>
  <c r="E74" i="12" s="1"/>
  <c r="D75" i="12" s="1"/>
  <c r="E75" i="12" s="1"/>
  <c r="F76" i="12" s="1"/>
  <c r="F99" i="12" s="1"/>
  <c r="C74" i="11"/>
  <c r="E74" i="11" s="1"/>
  <c r="E75" i="11" s="1"/>
  <c r="D76" i="11" s="1"/>
  <c r="E62" i="11"/>
  <c r="E63" i="11" s="1"/>
  <c r="D64" i="11" s="1"/>
  <c r="E64" i="11" s="1"/>
  <c r="F65" i="11" s="1"/>
  <c r="E20" i="11" s="1"/>
  <c r="F65" i="15" l="1"/>
  <c r="E20" i="15" s="1"/>
  <c r="E10" i="14" s="1"/>
  <c r="F219" i="12"/>
  <c r="E15" i="12"/>
  <c r="E21" i="15"/>
  <c r="E76" i="11"/>
  <c r="F77" i="11" s="1"/>
  <c r="E19" i="13"/>
  <c r="E13" i="12" l="1"/>
  <c r="E21" i="11"/>
  <c r="E11" i="14" s="1"/>
  <c r="F100" i="11"/>
  <c r="F236" i="11" s="1"/>
  <c r="D224" i="12"/>
  <c r="E224" i="12" s="1"/>
  <c r="F225" i="12" s="1"/>
  <c r="F227" i="12" s="1"/>
  <c r="E30" i="12" s="1"/>
  <c r="E19" i="11" l="1"/>
  <c r="F230" i="12"/>
  <c r="E31" i="12"/>
  <c r="F13" i="12" s="1"/>
  <c r="D241" i="11"/>
  <c r="E241" i="11" s="1"/>
  <c r="F242" i="11" s="1"/>
  <c r="F244" i="11" s="1"/>
  <c r="E36" i="11" s="1"/>
  <c r="F14" i="12" l="1"/>
  <c r="E37" i="11"/>
  <c r="F36" i="11" s="1"/>
  <c r="F25" i="12"/>
  <c r="F18" i="12"/>
  <c r="F22" i="12"/>
  <c r="F26" i="12"/>
  <c r="F24" i="12"/>
  <c r="F28" i="12"/>
  <c r="F16" i="12"/>
  <c r="F29" i="12"/>
  <c r="F17" i="12"/>
  <c r="F23" i="12"/>
  <c r="F27" i="12"/>
  <c r="F21" i="12"/>
  <c r="F19" i="12"/>
  <c r="F20" i="12"/>
  <c r="F15" i="12"/>
  <c r="F247" i="11"/>
  <c r="F30" i="12"/>
  <c r="F31" i="12" l="1"/>
  <c r="F25" i="11"/>
  <c r="F26" i="11"/>
  <c r="F20" i="11"/>
  <c r="F22" i="11"/>
  <c r="F24" i="11"/>
  <c r="F28" i="11"/>
  <c r="F31" i="11"/>
  <c r="F29" i="11"/>
  <c r="F33" i="11"/>
  <c r="F35" i="11"/>
  <c r="F30" i="11"/>
  <c r="F27" i="11"/>
  <c r="F34" i="11"/>
  <c r="F32" i="11"/>
  <c r="F23" i="11"/>
  <c r="F21" i="11"/>
  <c r="F19" i="11"/>
  <c r="F37" i="11" l="1"/>
  <c r="E84" i="15" l="1"/>
  <c r="F86" i="15" s="1"/>
  <c r="F100" i="15" s="1"/>
  <c r="F236" i="15" s="1"/>
  <c r="D241" i="15" l="1"/>
  <c r="E241" i="15" s="1"/>
  <c r="F242" i="15" s="1"/>
  <c r="F244" i="15" s="1"/>
  <c r="E36" i="15" s="1"/>
  <c r="E22" i="15"/>
  <c r="E19" i="15" l="1"/>
  <c r="F247" i="15"/>
  <c r="E37" i="15" l="1"/>
  <c r="F20" i="15" l="1"/>
  <c r="F29" i="15"/>
  <c r="F26" i="15"/>
  <c r="F35" i="15"/>
  <c r="F28" i="15"/>
  <c r="F25" i="15"/>
  <c r="F23" i="15"/>
  <c r="F34" i="15"/>
  <c r="F27" i="15"/>
  <c r="F33" i="15"/>
  <c r="F24" i="15"/>
  <c r="F31" i="15"/>
  <c r="F32" i="15"/>
  <c r="F30" i="15"/>
  <c r="F21" i="15"/>
  <c r="F22" i="15"/>
  <c r="F36" i="15"/>
  <c r="F19" i="15"/>
  <c r="F37" i="15" l="1"/>
  <c r="E71" i="13"/>
  <c r="F72" i="13" s="1"/>
  <c r="E20" i="13" l="1"/>
  <c r="F84" i="13"/>
  <c r="F217" i="13" s="1"/>
  <c r="D222" i="13" l="1"/>
  <c r="E222" i="13" s="1"/>
  <c r="F224" i="13" s="1"/>
  <c r="F226" i="13" s="1"/>
  <c r="E35" i="13" s="1"/>
  <c r="E12" i="14"/>
  <c r="E9" i="14" s="1"/>
  <c r="E18" i="13"/>
  <c r="F229" i="13" l="1"/>
  <c r="E48" i="14"/>
  <c r="E36" i="13"/>
  <c r="F18" i="13" s="1"/>
  <c r="F35" i="13" l="1"/>
  <c r="E49" i="14"/>
  <c r="F9" i="14" s="1"/>
  <c r="E8" i="16"/>
  <c r="E14" i="16"/>
  <c r="F21" i="13"/>
  <c r="F19" i="13"/>
  <c r="F25" i="13"/>
  <c r="F32" i="13"/>
  <c r="F26" i="13"/>
  <c r="F23" i="13"/>
  <c r="F28" i="13"/>
  <c r="F33" i="13"/>
  <c r="F22" i="13"/>
  <c r="F27" i="13"/>
  <c r="F31" i="13"/>
  <c r="F24" i="13"/>
  <c r="F29" i="13"/>
  <c r="F34" i="13"/>
  <c r="F30" i="13"/>
  <c r="F20" i="13"/>
  <c r="F36" i="13" l="1"/>
  <c r="N8" i="16"/>
  <c r="C8" i="16"/>
  <c r="E15" i="16"/>
  <c r="K8" i="16"/>
  <c r="H8" i="16"/>
  <c r="O8" i="16"/>
  <c r="L8" i="16"/>
  <c r="G8" i="16"/>
  <c r="P8" i="16"/>
  <c r="M8" i="16"/>
  <c r="I8" i="16"/>
  <c r="J8" i="16"/>
  <c r="F8" i="16"/>
  <c r="F48" i="14"/>
  <c r="F23" i="14"/>
  <c r="F24" i="14"/>
  <c r="F13" i="14"/>
  <c r="F32" i="14"/>
  <c r="F38" i="14"/>
  <c r="F16" i="14"/>
  <c r="F35" i="14"/>
  <c r="F31" i="14"/>
  <c r="F42" i="14"/>
  <c r="F33" i="14"/>
  <c r="F20" i="14"/>
  <c r="F14" i="14"/>
  <c r="F27" i="14"/>
  <c r="F46" i="14"/>
  <c r="F10" i="14"/>
  <c r="F44" i="14"/>
  <c r="F11" i="14"/>
  <c r="F18" i="14"/>
  <c r="F40" i="14"/>
  <c r="F17" i="14"/>
  <c r="F37" i="14"/>
  <c r="F49" i="14"/>
  <c r="F25" i="14"/>
  <c r="F22" i="14"/>
  <c r="F29" i="14"/>
  <c r="F43" i="14"/>
  <c r="F47" i="14"/>
  <c r="F21" i="14"/>
  <c r="F39" i="14"/>
  <c r="F28" i="14"/>
  <c r="F34" i="14"/>
  <c r="F45" i="14"/>
  <c r="F19" i="14"/>
  <c r="F36" i="14"/>
  <c r="F41" i="14"/>
  <c r="F30" i="14"/>
  <c r="F15" i="14"/>
  <c r="F26" i="14"/>
  <c r="F12" i="14"/>
  <c r="C14" i="16"/>
  <c r="K14" i="16"/>
  <c r="H14" i="16"/>
  <c r="J14" i="16"/>
  <c r="I14" i="16"/>
  <c r="L14" i="16"/>
  <c r="N14" i="16"/>
  <c r="P14" i="16"/>
  <c r="G14" i="16"/>
  <c r="O14" i="16"/>
  <c r="F14" i="16"/>
  <c r="M14" i="16"/>
  <c r="J15" i="16" l="1"/>
  <c r="G15" i="16"/>
  <c r="I15" i="16"/>
  <c r="K15" i="16"/>
  <c r="L15" i="16"/>
  <c r="M15" i="16"/>
  <c r="O15" i="16"/>
  <c r="C15" i="16"/>
  <c r="D14" i="16" s="1"/>
  <c r="F15" i="16"/>
  <c r="P15" i="16"/>
  <c r="H15" i="16"/>
  <c r="N15" i="16"/>
  <c r="D9" i="16" l="1"/>
  <c r="D13" i="16"/>
  <c r="D12" i="16"/>
  <c r="D11" i="16"/>
  <c r="D10" i="16"/>
  <c r="D8" i="16"/>
  <c r="D15" i="16" l="1"/>
</calcChain>
</file>

<file path=xl/comments1.xml><?xml version="1.0" encoding="utf-8"?>
<comments xmlns="http://schemas.openxmlformats.org/spreadsheetml/2006/main">
  <authors>
    <author>Clauber Bridi</author>
  </authors>
  <commentList>
    <comment ref="A7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7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9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4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69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0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71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72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74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6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83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84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89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90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96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97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C10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7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2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0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42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43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44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45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7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48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50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59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4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5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76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182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85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85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87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8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89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89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91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9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93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9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00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05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05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06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08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18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1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20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25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30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41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7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9" authorId="0" shape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4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0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71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72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73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7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2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83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84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85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90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91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96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97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C10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7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2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30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42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43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44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45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7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48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50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59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5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76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182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85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85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87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8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89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89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91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9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93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9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00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05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05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06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08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18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1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20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2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25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30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41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4.xml><?xml version="1.0" encoding="utf-8"?>
<comments xmlns="http://schemas.openxmlformats.org/spreadsheetml/2006/main">
  <authors>
    <author>Clauber Bridi</author>
  </authors>
  <commentList>
    <comment ref="A11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5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56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57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60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2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68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69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70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71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73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5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83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84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89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90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95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96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C10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0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0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1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2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24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25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26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27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9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30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31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32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5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41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7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58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164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67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67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69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69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71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71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73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7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75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75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182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186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186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187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187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188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189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D190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191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01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0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02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0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03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0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08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1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13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24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5.xml><?xml version="1.0" encoding="utf-8"?>
<comments xmlns="http://schemas.openxmlformats.org/spreadsheetml/2006/main">
  <authors>
    <author>Clauber Bridi</author>
  </authors>
  <commentList>
    <comment ref="A16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57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59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61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3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69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70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71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76" authorId="0" shapeId="0">
      <text>
        <r>
          <rPr>
            <sz val="9"/>
            <color indexed="81"/>
            <rFont val="Tahoma"/>
            <family val="2"/>
          </rPr>
          <t>Informar o valor unitário diário do vale refeição conforme Convenção Coletiva da categoria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C9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9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9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9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9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97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09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10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12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16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17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9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20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21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22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5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31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1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2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53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159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62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62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64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64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66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6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68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6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70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70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177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181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181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182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183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184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194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9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195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9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00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05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D214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C222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6.xml><?xml version="1.0" encoding="utf-8"?>
<comments xmlns="http://schemas.openxmlformats.org/spreadsheetml/2006/main">
  <authors>
    <author>Jorge Mesquita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Jorge Mesquita:</t>
        </r>
        <r>
          <rPr>
            <sz val="9"/>
            <color indexed="81"/>
            <rFont val="Tahoma"/>
            <family val="2"/>
          </rPr>
          <t xml:space="preserve">
Criar um tipo de arredondamento.
</t>
        </r>
      </text>
    </comment>
  </commentList>
</comments>
</file>

<file path=xl/comments7.xml><?xml version="1.0" encoding="utf-8"?>
<comments xmlns="http://schemas.openxmlformats.org/spreadsheetml/2006/main">
  <authors>
    <author>Clauber Bridi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<sst xmlns="http://schemas.openxmlformats.org/spreadsheetml/2006/main" count="1573" uniqueCount="487">
  <si>
    <t>hora</t>
  </si>
  <si>
    <t>Adicional de Insalubridade</t>
  </si>
  <si>
    <t>%</t>
  </si>
  <si>
    <t>Encargos Sociais</t>
  </si>
  <si>
    <t>Total do Efetivo</t>
  </si>
  <si>
    <t>homem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</si>
  <si>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</si>
  <si>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</si>
  <si>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</si>
  <si>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</si>
  <si>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</si>
  <si>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</si>
  <si>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</si>
  <si>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</si>
  <si>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</si>
  <si>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</si>
  <si>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</si>
  <si>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</si>
  <si>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</si>
  <si>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</si>
  <si>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</si>
  <si>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</si>
  <si>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</si>
  <si>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</si>
  <si>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</si>
  <si>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</si>
  <si>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</si>
  <si>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</si>
  <si>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</si>
  <si>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</si>
  <si>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</si>
  <si>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</si>
  <si>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Horas Extras (100%)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</si>
  <si>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</si>
  <si>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</si>
  <si>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</si>
  <si>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</si>
  <si>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</si>
  <si>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</si>
  <si>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</si>
  <si>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</si>
  <si>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</si>
  <si>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</si>
  <si>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</si>
  <si>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</si>
  <si>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</si>
  <si>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</si>
  <si>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</si>
  <si>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</si>
  <si>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</si>
  <si>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</si>
  <si>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</si>
  <si>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</si>
  <si>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</si>
  <si>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</si>
  <si>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</si>
  <si>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</si>
  <si>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</si>
  <si>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</si>
  <si>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</si>
  <si>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</si>
  <si>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</si>
  <si>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</si>
  <si>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</si>
  <si>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</si>
  <si>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</si>
  <si>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</si>
  <si>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</si>
  <si>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</si>
  <si>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</si>
  <si>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</si>
  <si>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</si>
  <si>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</si>
  <si>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</si>
  <si>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</si>
  <si>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</si>
  <si>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</si>
  <si>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</si>
  <si>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</si>
  <si>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</si>
  <si>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</si>
  <si>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{[(1+AC+SRG) x (1+L) x (1+DF)] / (1-T)} -1</t>
  </si>
  <si>
    <t>Resultado do cálculo do BDI:</t>
  </si>
  <si>
    <t>6. Benefícios e Despesas Indiretas - BDI</t>
  </si>
  <si>
    <t>Vale Transporte</t>
  </si>
  <si>
    <t>Dias Trabalhados por mês</t>
  </si>
  <si>
    <t>dia</t>
  </si>
  <si>
    <t>Meia de algodão com cano alto</t>
  </si>
  <si>
    <t>Quantitativos</t>
  </si>
  <si>
    <t>1.1. Coletor Turno Dia</t>
  </si>
  <si>
    <t>1.3. Motorista Turno do Dia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</si>
  <si>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</si>
  <si>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</si>
  <si>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</si>
  <si>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</si>
  <si>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</si>
  <si>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</si>
  <si>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</si>
  <si>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</si>
  <si>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</si>
  <si>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Custo do chassis</t>
  </si>
  <si>
    <t>Custo do compactador</t>
  </si>
  <si>
    <t>3.1.2. Remuneração do Capital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</si>
  <si>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</si>
  <si>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</si>
  <si>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</si>
  <si>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</si>
  <si>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</si>
  <si>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</si>
  <si>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</si>
  <si>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</si>
  <si>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</si>
  <si>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</si>
  <si>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</si>
  <si>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</si>
  <si>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</si>
  <si>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</si>
  <si>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</si>
  <si>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</si>
  <si>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</si>
  <si>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</si>
  <si>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</si>
  <si>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</si>
  <si>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</si>
  <si>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</si>
  <si>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Rotatividade</t>
  </si>
  <si>
    <t>Demitidos s/ Justa Causa em relação ao Estoque Médio</t>
  </si>
  <si>
    <t>Dias ano</t>
  </si>
  <si>
    <t>Estoque Médio</t>
  </si>
  <si>
    <t>Multa FGTS</t>
  </si>
  <si>
    <t>Fração de tempo para gozo férias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</si>
  <si>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</si>
  <si>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</si>
  <si>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</si>
  <si>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</si>
  <si>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</si>
  <si>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</si>
  <si>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</si>
  <si>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</si>
  <si>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</si>
  <si>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</si>
  <si>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</si>
  <si>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</si>
  <si>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</si>
  <si>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</si>
  <si>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</si>
  <si>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</si>
  <si>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</si>
  <si>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</si>
  <si>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</si>
  <si>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</si>
  <si>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</si>
  <si>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</si>
  <si>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</si>
  <si>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</si>
  <si>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</si>
  <si>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</si>
  <si>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</si>
  <si>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</si>
  <si>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</si>
  <si>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</si>
  <si>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</si>
  <si>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</si>
  <si>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</si>
  <si>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</si>
  <si>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</si>
  <si>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</si>
  <si>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</si>
  <si>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</si>
  <si>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</si>
  <si>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</si>
  <si>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</si>
  <si>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</si>
  <si>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</si>
  <si>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</si>
  <si>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</si>
  <si>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</si>
  <si>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</si>
  <si>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</si>
  <si>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</si>
  <si>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</si>
  <si>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</si>
  <si>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</si>
  <si>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</si>
  <si>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Licenciamento e Seguro obrigatório</t>
  </si>
  <si>
    <t>Higienização de uniformes e EPIs</t>
  </si>
  <si>
    <t>Custo Mensal com Uniformes e EPIs (R$/mês)</t>
  </si>
  <si>
    <t>Descrição do Item</t>
  </si>
  <si>
    <t>Orçamento Sintético</t>
  </si>
  <si>
    <t>Orientações para preenchimento:</t>
  </si>
  <si>
    <t>Rio Grande do Sul  - Coleta de Resíduos Não-Perigosos - CNAE 38114</t>
  </si>
  <si>
    <t>Para preencher esta planilha siga os passos 1 a 5: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</si>
  <si>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</si>
  <si>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</si>
  <si>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</si>
  <si>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</si>
  <si>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</si>
  <si>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</si>
  <si>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</si>
  <si>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</si>
  <si>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Piso da categoria (1)</t>
  </si>
  <si>
    <t>Salário mínimo nacional (2)</t>
  </si>
  <si>
    <t>Descanso Semanal Remunerado (DSR) - hora extra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</si>
  <si>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</si>
  <si>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</si>
  <si>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</si>
  <si>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</si>
  <si>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</si>
  <si>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</si>
  <si>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</si>
  <si>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</si>
  <si>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</si>
  <si>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</si>
  <si>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 xml:space="preserve">2. Composição dos Encargos Sociais </t>
  </si>
  <si>
    <t>5. Depreciação Referencial TCE/RS (%)</t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</si>
  <si>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</si>
  <si>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</si>
  <si>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</si>
  <si>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</si>
  <si>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</si>
  <si>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CUSTO MENSAL COM BDI (R$/mês)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</si>
  <si>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</si>
  <si>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</si>
  <si>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</si>
  <si>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</si>
  <si>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</si>
  <si>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Fórmula de cálculo da remuneração de capital:</t>
  </si>
  <si>
    <t>Durabilidade (meses)</t>
  </si>
  <si>
    <t>Custo com consumos/km rodado</t>
  </si>
  <si>
    <t>Consumo</t>
  </si>
  <si>
    <t>Total por veículo</t>
  </si>
  <si>
    <t>Total da frota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</si>
  <si>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</si>
  <si>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</si>
  <si>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</si>
  <si>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</si>
  <si>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</si>
  <si>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</si>
  <si>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</si>
  <si>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</si>
  <si>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</si>
  <si>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</si>
  <si>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</si>
  <si>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</si>
  <si>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</si>
  <si>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</si>
  <si>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</si>
  <si>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</si>
  <si>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</si>
  <si>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</si>
  <si>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</si>
  <si>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</si>
  <si>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</si>
  <si>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Depreciação Média</t>
  </si>
  <si>
    <t>1. Preencher somente células em amarelo</t>
  </si>
  <si>
    <t>4. Composição do B.D.I.  (Benefícios e Despesas Indiretas)</t>
  </si>
  <si>
    <t>Item</t>
  </si>
  <si>
    <t>Fórmula para o cálculo do B.D.I.:</t>
  </si>
  <si>
    <t>Indicadores:</t>
  </si>
  <si>
    <t>ROTATIVIDADE TEMPORAL( MESES):</t>
  </si>
  <si>
    <t>CÁLCULO DAS VERBAS INDENIZATÓRIAS DOS EMPREGADOS NO SETOR DE COLETA DE RESÍDUOS SÓLIDOS URBANOS</t>
  </si>
  <si>
    <r>
      <rPr>
        <b/>
        <sz val="12"/>
        <rFont val="Calibri"/>
        <family val="2"/>
        <scheme val="minor"/>
      </rPr>
      <t>1.</t>
    </r>
    <r>
      <rPr>
        <sz val="12"/>
        <rFont val="Calibri"/>
        <family val="2"/>
        <scheme val="minor"/>
      </rPr>
      <t xml:space="preserve"> Acesse o Portal do CAGED no link </t>
    </r>
    <r>
      <rPr>
        <sz val="12"/>
        <color rgb="FF0070C0"/>
        <rFont val="Calibri"/>
        <family val="2"/>
        <scheme val="minor"/>
      </rPr>
      <t xml:space="preserve">http://bi.mte.gov.br/cagedestabelecimento/pages/consulta.xhtml </t>
    </r>
  </si>
  <si>
    <r>
      <rPr>
        <b/>
        <sz val="12"/>
        <rFont val="Calibri"/>
        <family val="2"/>
        <scheme val="minor"/>
      </rPr>
      <t>2.</t>
    </r>
    <r>
      <rPr>
        <sz val="12"/>
        <rFont val="Calibri"/>
        <family val="2"/>
        <scheme val="minor"/>
      </rPr>
      <t xml:space="preserve"> Na </t>
    </r>
    <r>
      <rPr>
        <i/>
        <sz val="12"/>
        <rFont val="Calibri"/>
        <family val="2"/>
        <scheme val="minor"/>
      </rPr>
      <t>Especificação da Consulta</t>
    </r>
    <r>
      <rPr>
        <sz val="12"/>
        <rFont val="Calibri"/>
        <family val="2"/>
        <scheme val="minor"/>
      </rPr>
      <t xml:space="preserve">, selecione </t>
    </r>
    <r>
      <rPr>
        <b/>
        <i/>
        <sz val="12"/>
        <rFont val="Calibri"/>
        <family val="2"/>
        <scheme val="minor"/>
      </rPr>
      <t>"Demonstrativo por período"</t>
    </r>
    <r>
      <rPr>
        <sz val="12"/>
        <rFont val="Calibri"/>
        <family val="2"/>
        <scheme val="minor"/>
      </rPr>
      <t xml:space="preserve"> e informe as competências relativas ao período Inicial e Final (últimos 12 meses)</t>
    </r>
  </si>
  <si>
    <r>
      <rPr>
        <b/>
        <sz val="12"/>
        <rFont val="Calibri"/>
        <family val="2"/>
        <scheme val="minor"/>
      </rPr>
      <t>3.</t>
    </r>
    <r>
      <rPr>
        <sz val="12"/>
        <rFont val="Calibri"/>
        <family val="2"/>
        <scheme val="minor"/>
      </rPr>
      <t xml:space="preserve"> Em </t>
    </r>
    <r>
      <rPr>
        <i/>
        <sz val="12"/>
        <rFont val="Calibri"/>
        <family val="2"/>
        <scheme val="minor"/>
      </rPr>
      <t>Nível Geográfico</t>
    </r>
    <r>
      <rPr>
        <sz val="12"/>
        <rFont val="Calibri"/>
        <family val="2"/>
        <scheme val="minor"/>
      </rPr>
      <t xml:space="preserve"> selecione </t>
    </r>
    <r>
      <rPr>
        <b/>
        <i/>
        <sz val="12"/>
        <rFont val="Calibri"/>
        <family val="2"/>
        <scheme val="minor"/>
      </rPr>
      <t>"Unidade da Federação"</t>
    </r>
    <r>
      <rPr>
        <sz val="12"/>
        <rFont val="Calibri"/>
        <family val="2"/>
        <scheme val="minor"/>
      </rPr>
      <t xml:space="preserve"> e marque a opção </t>
    </r>
    <r>
      <rPr>
        <b/>
        <i/>
        <sz val="12"/>
        <rFont val="Calibri"/>
        <family val="2"/>
        <scheme val="minor"/>
      </rPr>
      <t>"Rio Grande do Sul"</t>
    </r>
  </si>
  <si>
    <r>
      <rPr>
        <b/>
        <sz val="12"/>
        <rFont val="Calibri"/>
        <family val="2"/>
        <scheme val="minor"/>
      </rPr>
      <t>4.</t>
    </r>
    <r>
      <rPr>
        <sz val="12"/>
        <rFont val="Calibri"/>
        <family val="2"/>
        <scheme val="minor"/>
      </rPr>
      <t xml:space="preserve"> Em </t>
    </r>
    <r>
      <rPr>
        <i/>
        <sz val="12"/>
        <rFont val="Calibri"/>
        <family val="2"/>
        <scheme val="minor"/>
      </rPr>
      <t>Nível Setorial</t>
    </r>
    <r>
      <rPr>
        <sz val="12"/>
        <rFont val="Calibri"/>
        <family val="2"/>
        <scheme val="minor"/>
      </rPr>
      <t xml:space="preserve"> selecione </t>
    </r>
    <r>
      <rPr>
        <b/>
        <i/>
        <sz val="12"/>
        <rFont val="Calibri"/>
        <family val="2"/>
        <scheme val="minor"/>
      </rPr>
      <t>"Classe de atividade econômica segundo a classificação CNAE – versão 2.0 (669 categorias)"</t>
    </r>
    <r>
      <rPr>
        <sz val="12"/>
        <rFont val="Calibri"/>
        <family val="2"/>
        <scheme val="minor"/>
      </rPr>
      <t xml:space="preserve"> e marque a opção "</t>
    </r>
    <r>
      <rPr>
        <b/>
        <i/>
        <sz val="12"/>
        <rFont val="Calibri"/>
        <family val="2"/>
        <scheme val="minor"/>
      </rPr>
      <t>38114 – Coleta de Resíduos Não-Perigosos"</t>
    </r>
  </si>
  <si>
    <r>
      <rPr>
        <b/>
        <sz val="12"/>
        <rFont val="Calibri"/>
        <family val="2"/>
        <scheme val="minor"/>
      </rPr>
      <t>5.</t>
    </r>
    <r>
      <rPr>
        <sz val="12"/>
        <rFont val="Calibri"/>
        <family val="2"/>
        <scheme val="minor"/>
      </rPr>
      <t xml:space="preserve"> Clique em </t>
    </r>
    <r>
      <rPr>
        <i/>
        <sz val="12"/>
        <rFont val="Calibri"/>
        <family val="2"/>
        <scheme val="minor"/>
      </rPr>
      <t>Gerar Relatório</t>
    </r>
  </si>
  <si>
    <r>
      <rPr>
        <b/>
        <sz val="12"/>
        <rFont val="Calibri"/>
        <family val="2"/>
        <scheme val="minor"/>
      </rPr>
      <t>6.</t>
    </r>
    <r>
      <rPr>
        <sz val="12"/>
        <rFont val="Calibri"/>
        <family val="2"/>
        <scheme val="minor"/>
      </rPr>
      <t xml:space="preserve"> Preencha as células em amarelo</t>
    </r>
  </si>
  <si>
    <r>
      <rPr>
        <b/>
        <i/>
        <sz val="12"/>
        <rFont val="Calibri"/>
        <family val="2"/>
        <scheme val="minor"/>
      </rPr>
      <t>J</t>
    </r>
    <r>
      <rPr>
        <b/>
        <i/>
        <vertAlign val="subscript"/>
        <sz val="11"/>
        <rFont val="Calibri"/>
        <family val="2"/>
        <scheme val="minor"/>
      </rPr>
      <t>m</t>
    </r>
    <r>
      <rPr>
        <i/>
        <sz val="12"/>
        <rFont val="Calibri"/>
        <family val="2"/>
        <scheme val="minor"/>
      </rPr>
      <t xml:space="preserve"> =</t>
    </r>
  </si>
  <si>
    <t>(n +1)</t>
  </si>
  <si>
    <t>2n</t>
  </si>
  <si>
    <t>+</t>
  </si>
  <si>
    <r>
      <rPr>
        <b/>
        <sz val="12"/>
        <rFont val="Calibri"/>
        <family val="2"/>
        <scheme val="minor"/>
      </rPr>
      <t>I</t>
    </r>
    <r>
      <rPr>
        <b/>
        <vertAlign val="subscript"/>
        <sz val="12"/>
        <rFont val="Calibri"/>
        <family val="2"/>
        <scheme val="minor"/>
      </rPr>
      <t>m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=</t>
    </r>
  </si>
  <si>
    <r>
      <t>(V</t>
    </r>
    <r>
      <rPr>
        <i/>
        <vertAlign val="subscript"/>
        <sz val="12"/>
        <rFont val="Calibri"/>
        <family val="2"/>
        <scheme val="minor"/>
      </rPr>
      <t>o</t>
    </r>
    <r>
      <rPr>
        <i/>
        <sz val="12"/>
        <rFont val="Calibri"/>
        <family val="2"/>
        <scheme val="minor"/>
      </rPr>
      <t xml:space="preserve"> - V</t>
    </r>
    <r>
      <rPr>
        <i/>
        <vertAlign val="subscript"/>
        <sz val="12"/>
        <rFont val="Calibri"/>
        <family val="2"/>
        <scheme val="minor"/>
      </rPr>
      <t>r</t>
    </r>
    <r>
      <rPr>
        <i/>
        <sz val="12"/>
        <rFont val="Calibri"/>
        <family val="2"/>
        <scheme val="minor"/>
      </rPr>
      <t>) x</t>
    </r>
  </si>
  <si>
    <r>
      <t>V</t>
    </r>
    <r>
      <rPr>
        <i/>
        <vertAlign val="subscript"/>
        <sz val="12"/>
        <rFont val="Calibri"/>
        <family val="2"/>
        <scheme val="minor"/>
      </rPr>
      <t>r</t>
    </r>
  </si>
  <si>
    <r>
      <t>I</t>
    </r>
    <r>
      <rPr>
        <i/>
        <vertAlign val="superscript"/>
        <sz val="12"/>
        <rFont val="Calibri"/>
        <family val="2"/>
        <scheme val="minor"/>
      </rPr>
      <t>m</t>
    </r>
    <r>
      <rPr>
        <i/>
        <sz val="12"/>
        <rFont val="Calibri"/>
        <family val="2"/>
        <scheme val="minor"/>
      </rPr>
      <t xml:space="preserve">  x    i</t>
    </r>
  </si>
  <si>
    <r>
      <rPr>
        <b/>
        <i/>
        <sz val="12"/>
        <color theme="1"/>
        <rFont val="Calibri"/>
        <family val="2"/>
        <scheme val="minor"/>
      </rPr>
      <t>J</t>
    </r>
    <r>
      <rPr>
        <b/>
        <i/>
        <vertAlign val="subscript"/>
        <sz val="12"/>
        <color indexed="8"/>
        <rFont val="Calibri"/>
        <family val="2"/>
        <scheme val="minor"/>
      </rPr>
      <t>m</t>
    </r>
    <r>
      <rPr>
        <sz val="12"/>
        <color indexed="8"/>
        <rFont val="Calibri"/>
        <family val="2"/>
        <scheme val="minor"/>
      </rPr>
      <t xml:space="preserve"> = remuneração de capital mensal</t>
    </r>
  </si>
  <si>
    <r>
      <rPr>
        <b/>
        <i/>
        <sz val="12"/>
        <color theme="1"/>
        <rFont val="Calibri"/>
        <family val="2"/>
        <scheme val="minor"/>
      </rPr>
      <t xml:space="preserve">i </t>
    </r>
    <r>
      <rPr>
        <sz val="12"/>
        <color theme="1"/>
        <rFont val="Calibri"/>
        <family val="2"/>
        <scheme val="minor"/>
      </rPr>
      <t>= taxa de juros do mercado (sugere-se adotar a taxa SELIC)</t>
    </r>
  </si>
  <si>
    <r>
      <rPr>
        <b/>
        <i/>
        <sz val="12"/>
        <color theme="1"/>
        <rFont val="Calibri"/>
        <family val="2"/>
        <scheme val="minor"/>
      </rPr>
      <t>I</t>
    </r>
    <r>
      <rPr>
        <b/>
        <i/>
        <vertAlign val="subscript"/>
        <sz val="12"/>
        <color theme="1"/>
        <rFont val="Calibri"/>
        <family val="2"/>
        <scheme val="minor"/>
      </rPr>
      <t>m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= investimento médio</t>
    </r>
  </si>
  <si>
    <r>
      <rPr>
        <b/>
        <i/>
        <sz val="12"/>
        <color theme="1"/>
        <rFont val="Calibri"/>
        <family val="2"/>
        <scheme val="minor"/>
      </rPr>
      <t>V</t>
    </r>
    <r>
      <rPr>
        <b/>
        <i/>
        <vertAlign val="subscript"/>
        <sz val="12"/>
        <color indexed="8"/>
        <rFont val="Calibri"/>
        <family val="2"/>
        <scheme val="minor"/>
      </rPr>
      <t>0</t>
    </r>
    <r>
      <rPr>
        <sz val="12"/>
        <color indexed="8"/>
        <rFont val="Calibri"/>
        <family val="2"/>
        <scheme val="minor"/>
      </rPr>
      <t xml:space="preserve"> = valor inicial do bem</t>
    </r>
  </si>
  <si>
    <r>
      <rPr>
        <b/>
        <i/>
        <sz val="12"/>
        <color theme="1"/>
        <rFont val="Calibri"/>
        <family val="2"/>
        <scheme val="minor"/>
      </rPr>
      <t>V</t>
    </r>
    <r>
      <rPr>
        <b/>
        <i/>
        <vertAlign val="subscript"/>
        <sz val="12"/>
        <color indexed="8"/>
        <rFont val="Calibri"/>
        <family val="2"/>
        <scheme val="minor"/>
      </rPr>
      <t>r</t>
    </r>
    <r>
      <rPr>
        <b/>
        <i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>= valor residual do bem</t>
    </r>
  </si>
  <si>
    <r>
      <rPr>
        <b/>
        <i/>
        <sz val="12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 = vida útil do bem em anos</t>
    </r>
  </si>
  <si>
    <t xml:space="preserve">Unidade </t>
  </si>
  <si>
    <t>Fator de utilização da frota(FUF)</t>
  </si>
  <si>
    <r>
      <rPr>
        <b/>
        <sz val="12"/>
        <rFont val="Calibri"/>
        <family val="2"/>
        <scheme val="minor"/>
      </rPr>
      <t>1.</t>
    </r>
    <r>
      <rPr>
        <sz val="12"/>
        <rFont val="Calibri"/>
        <family val="2"/>
        <scheme val="minor"/>
      </rPr>
      <t xml:space="preserve"> Preencher somente células em amarelo</t>
    </r>
  </si>
  <si>
    <r>
      <rPr>
        <b/>
        <sz val="12"/>
        <rFont val="Calibri"/>
        <family val="2"/>
        <scheme val="minor"/>
      </rPr>
      <t xml:space="preserve">2. </t>
    </r>
    <r>
      <rPr>
        <sz val="12"/>
        <rFont val="Calibri"/>
        <family val="2"/>
        <scheme val="minor"/>
      </rPr>
      <t>As células azuis deverão ter seus valores preenchidos em outra planilha do arquivo.</t>
    </r>
  </si>
  <si>
    <r>
      <t xml:space="preserve">Total </t>
    </r>
    <r>
      <rPr>
        <b/>
        <u/>
        <sz val="12"/>
        <rFont val="Calibri"/>
        <family val="2"/>
        <scheme val="minor"/>
      </rPr>
      <t>(R$)</t>
    </r>
  </si>
  <si>
    <t>FU</t>
  </si>
  <si>
    <t>Soma:</t>
  </si>
  <si>
    <t>Total por Coletor:</t>
  </si>
  <si>
    <t>Total por Motorista:</t>
  </si>
  <si>
    <t>Custo Mensal com Mão-de-obra (R$/mês):</t>
  </si>
  <si>
    <t>2.1. Uniformes e EPI's para Coletor</t>
  </si>
  <si>
    <t>2.2. Uniformes e EPI's para demais categorias</t>
  </si>
  <si>
    <t>Custo jg. compl. +  recap./ km rodado</t>
  </si>
  <si>
    <t>2.1. Uniformes e EPI's</t>
  </si>
  <si>
    <t>Custo de aquisição do container</t>
  </si>
  <si>
    <t>Vida útil do container</t>
  </si>
  <si>
    <t>Idade do container</t>
  </si>
  <si>
    <t>Depreciação do container</t>
  </si>
  <si>
    <t>Depreciação mensal do container</t>
  </si>
  <si>
    <t>Custo de aquisição da retroescavadeira</t>
  </si>
  <si>
    <t>Vida útil da retroescavadeira</t>
  </si>
  <si>
    <t>Idade da retroescavadeira</t>
  </si>
  <si>
    <t>Depreciação da retroescavadeira</t>
  </si>
  <si>
    <t xml:space="preserve">Depreciação mensal da retroescavadeira  </t>
  </si>
  <si>
    <t>Total por unidade</t>
  </si>
  <si>
    <t>Valor do equipamento proposto (V0)</t>
  </si>
  <si>
    <t>Custo da retroescavadeira</t>
  </si>
  <si>
    <t>Valor da retroescavadeira proposto (V0)</t>
  </si>
  <si>
    <t>Investimento médio total da retroescavadeira</t>
  </si>
  <si>
    <t xml:space="preserve">Remuneração mensal de capital da retroescavadeira </t>
  </si>
  <si>
    <t>Total da estação de transbordo</t>
  </si>
  <si>
    <t>Custo de manutenção dos equipamentos</t>
  </si>
  <si>
    <t>Total de mão-de-obra (estação de transbordo)</t>
  </si>
  <si>
    <t>Total (R$)</t>
  </si>
  <si>
    <t>3.2.1. Depreciação</t>
  </si>
  <si>
    <t>3.2.2. Remuneração do Capital</t>
  </si>
  <si>
    <t>3.2.3. Impostos e Seguros</t>
  </si>
  <si>
    <t>3.2.4. Consumos</t>
  </si>
  <si>
    <t>3.2.5. Manutenção</t>
  </si>
  <si>
    <t>3.2.6. Pneus</t>
  </si>
  <si>
    <t>3.3.1. Depreciação</t>
  </si>
  <si>
    <t>3.3.2. Remuneração do Capital</t>
  </si>
  <si>
    <t>3.3.3. Impostos e Seguros</t>
  </si>
  <si>
    <t>3.3.4. Consumos</t>
  </si>
  <si>
    <t>3.3.5. Manutenção</t>
  </si>
  <si>
    <t>3.3.6. Pneus</t>
  </si>
  <si>
    <t>PREÇO TOTAL MENSAL COM O DESTINO FINAL</t>
  </si>
  <si>
    <r>
      <rPr>
        <b/>
        <sz val="12"/>
        <rFont val="Calibri"/>
        <family val="2"/>
        <scheme val="minor"/>
      </rPr>
      <t>1.</t>
    </r>
    <r>
      <rPr>
        <sz val="12"/>
        <rFont val="Calibri"/>
        <family val="2"/>
        <scheme val="minor"/>
      </rPr>
      <t xml:space="preserve"> A planilha será preenchida automaticamente.</t>
    </r>
  </si>
  <si>
    <t>Valor da caçamba proposto (V0)</t>
  </si>
  <si>
    <t>6. Deposição no Aterro</t>
  </si>
  <si>
    <t>Valor de deposição</t>
  </si>
  <si>
    <t>Fator de utilização da frota(FU)</t>
  </si>
  <si>
    <t>Benefícios e despesas indiretas sobre o valor de deposição (s/lucro)</t>
  </si>
  <si>
    <t>7. Benefícios e Despesas Indiretas - BDI</t>
  </si>
  <si>
    <t>1.4. Destino final</t>
  </si>
  <si>
    <t>4. Composição do B.D.I.  Sem Lucro (Benefícios e Despesas Indiretas)</t>
  </si>
  <si>
    <t xml:space="preserve">CRONOGRAMA FÍSICO - FINANCEIRO </t>
  </si>
  <si>
    <t>ÍTEM</t>
  </si>
  <si>
    <t>FASE</t>
  </si>
  <si>
    <t>VALOR ORÇADO</t>
  </si>
  <si>
    <t>INCID.</t>
  </si>
  <si>
    <t>REALIZAÇÃO  MENSAL</t>
  </si>
  <si>
    <t>( R$ )</t>
  </si>
  <si>
    <t>( % )</t>
  </si>
  <si>
    <t>1º  MÊS</t>
  </si>
  <si>
    <t>2º  MÊS</t>
  </si>
  <si>
    <t>3º  MÊS</t>
  </si>
  <si>
    <t>4º  MÊS</t>
  </si>
  <si>
    <t>5º  MÊS</t>
  </si>
  <si>
    <t>6º  MÊS</t>
  </si>
  <si>
    <t>7º  MÊS</t>
  </si>
  <si>
    <t>8º  MÊS</t>
  </si>
  <si>
    <t>9º  MÊS</t>
  </si>
  <si>
    <t>10º  MÊS</t>
  </si>
  <si>
    <t>11º  MÊS</t>
  </si>
  <si>
    <t>12º  MÊS</t>
  </si>
  <si>
    <t>Valor do conjunto  proposto (V0)</t>
  </si>
  <si>
    <t>DMT aterro Candiota:</t>
  </si>
  <si>
    <r>
      <t>3.1. Veículo Coletor Compactador</t>
    </r>
    <r>
      <rPr>
        <b/>
        <i/>
        <sz val="12"/>
        <color indexed="10"/>
        <rFont val="Calibri"/>
        <family val="2"/>
        <scheme val="minor"/>
      </rPr>
      <t xml:space="preserve"> </t>
    </r>
    <r>
      <rPr>
        <b/>
        <i/>
        <sz val="12"/>
        <rFont val="Calibri"/>
        <family val="2"/>
        <scheme val="minor"/>
      </rPr>
      <t>12 m³ (mínimo)</t>
    </r>
  </si>
  <si>
    <t>1.2. Motorista Turno do Dia</t>
  </si>
  <si>
    <t>1.3. Vale Transporte</t>
  </si>
  <si>
    <t>1.4. Vale-refeição (diário)</t>
  </si>
  <si>
    <t>1.5. Auxílio Alimentação (mensal)</t>
  </si>
  <si>
    <t>Central de Triagem de RSU e Estação de Transbordo</t>
  </si>
  <si>
    <t>Equipamentos e Maquinas</t>
  </si>
  <si>
    <t>Maquina Retroescavadeira</t>
  </si>
  <si>
    <t xml:space="preserve">Equipamento Container </t>
  </si>
  <si>
    <t xml:space="preserve">3.3. Conjunto com carreta tipo "roll on off"  e containers para destino final </t>
  </si>
  <si>
    <t>Custo de aquisição do chassis Roll on off</t>
  </si>
  <si>
    <t>Investimento médio total do chassis Roll on off</t>
  </si>
  <si>
    <t>Remuneração mensal de capital do chassis Roll on off</t>
  </si>
  <si>
    <t>Custo de aquisição do conjunto Julieta Roll on off</t>
  </si>
  <si>
    <t>Vida útil do conjunto Julieta Roll on off</t>
  </si>
  <si>
    <t>Idade do conjunto Julieta Roll on off</t>
  </si>
  <si>
    <t>Depreciação do conjunto Julieta Roll on off</t>
  </si>
  <si>
    <t>Depreciação mensal do conjunto Julieta Roll on off</t>
  </si>
  <si>
    <t>Custo de aquisição do chassis Romeu Roll on off</t>
  </si>
  <si>
    <t>Vida útil do veículo Romeu Roll on off</t>
  </si>
  <si>
    <t>Idade do veículo Romeu Roll on off</t>
  </si>
  <si>
    <t>Depreciação do veículo Romeu Roll on off</t>
  </si>
  <si>
    <t>Depreciação mensal do chassis do Romeu Roll on off</t>
  </si>
  <si>
    <t>Investimento médio total do conjunto Julieta Roll on off</t>
  </si>
  <si>
    <t>Remuneração mensal de capital do conjunto Julieta Roll on off</t>
  </si>
  <si>
    <t>Taxa de Licenciamento e Seguro obrigatório</t>
  </si>
  <si>
    <t>Custo jg. compl. +  recap./ h Trabalhadas</t>
  </si>
  <si>
    <t>h/jogo</t>
  </si>
  <si>
    <t>Custo do jogo de pneus Traseiros 19.5-24 _ 12 Lonas</t>
  </si>
  <si>
    <t>Custo do jogo de pneus Dianteiros 10-16.5_10 Lonas</t>
  </si>
  <si>
    <t>Custo de recapagem pneus Dianteiros 10-16.5_10 Lonas</t>
  </si>
  <si>
    <t>Custo de recapagem pneus  Traseiros 19.5-24 _ 12 Lonas</t>
  </si>
  <si>
    <t>Reincidência de FGTS sobre aviso prévio indenizado</t>
  </si>
  <si>
    <r>
      <t>Total de mão-de-obra (</t>
    </r>
    <r>
      <rPr>
        <sz val="12"/>
        <rFont val="Calibri"/>
        <family val="2"/>
        <scheme val="minor"/>
      </rPr>
      <t>Central de Triagem de RSU com E</t>
    </r>
    <r>
      <rPr>
        <b/>
        <sz val="12"/>
        <rFont val="Calibri"/>
        <family val="2"/>
        <scheme val="minor"/>
      </rPr>
      <t>stação de transbordo)</t>
    </r>
  </si>
  <si>
    <r>
      <t>Total de Empreendimentos (</t>
    </r>
    <r>
      <rPr>
        <sz val="12"/>
        <rFont val="Calibri"/>
        <family val="2"/>
        <scheme val="minor"/>
      </rPr>
      <t>Central de Triagem de RSU com E</t>
    </r>
    <r>
      <rPr>
        <b/>
        <sz val="12"/>
        <rFont val="Calibri"/>
        <family val="2"/>
        <scheme val="minor"/>
      </rPr>
      <t>stação de transbordo)</t>
    </r>
  </si>
  <si>
    <r>
      <t>Total Equipamentos e Maquinas (</t>
    </r>
    <r>
      <rPr>
        <sz val="12"/>
        <rFont val="Calibri"/>
        <family val="2"/>
        <scheme val="minor"/>
      </rPr>
      <t>Central de Triagem de RSU com E</t>
    </r>
    <r>
      <rPr>
        <b/>
        <sz val="12"/>
        <rFont val="Calibri"/>
        <family val="2"/>
        <scheme val="minor"/>
      </rPr>
      <t>stação de transbordo)</t>
    </r>
  </si>
  <si>
    <t>Total de Veiculos e Equipamentos</t>
  </si>
  <si>
    <t>PREÇO TOTAL MENSAL COM A CENTRAL DE TRIAGEM DE RSU COM ESTAÇÃO DE TRANSBORDO</t>
  </si>
  <si>
    <t>1.3. CENTRAL DE TRIAGEM DE RSU COM ESTAÇÃO DE TRANSBORDO</t>
  </si>
  <si>
    <t>PREÇO TOTAL MENSAL COM A COLETA DE RESÍDUOS ORGÂNICOS</t>
  </si>
  <si>
    <t>1.1. COLETA DE RESÍDUOS ORGÂNICOS</t>
  </si>
  <si>
    <t>1.2. COLETA DE RESÍDUOS RECICLÁVEIS</t>
  </si>
  <si>
    <t>PREÇO TOTAL MENSAL COM A COLETA DE RESÍDUOS RECICLÁVEIS</t>
  </si>
  <si>
    <r>
      <rPr>
        <b/>
        <sz val="12"/>
        <rFont val="Calibri"/>
        <family val="2"/>
        <scheme val="minor"/>
      </rPr>
      <t xml:space="preserve">C. </t>
    </r>
    <r>
      <rPr>
        <i/>
        <sz val="12"/>
        <rFont val="Calibri"/>
        <family val="2"/>
        <scheme val="minor"/>
      </rPr>
      <t>Mão de obra: O motorista envolvido na operação foi considerado junto a coleta coleta de resíduos orgânicos e recicláveis e o tempo estimado para o transporte computado no quadro de freqüências.</t>
    </r>
  </si>
  <si>
    <t xml:space="preserve">Horas Trabalhadas Mensal </t>
  </si>
  <si>
    <t>Consumo / h</t>
  </si>
  <si>
    <t>Custo de óleo diesel / h/l</t>
  </si>
  <si>
    <t>h/l</t>
  </si>
  <si>
    <t>h</t>
  </si>
  <si>
    <t>Custo de óleo do motor /1.000 h trabalhadas</t>
  </si>
  <si>
    <t>l/1.000 h</t>
  </si>
  <si>
    <t>Custo de óleo da transmissão /1.000 h</t>
  </si>
  <si>
    <t>Custo de óleo hidráulico / 1.000 h</t>
  </si>
  <si>
    <t>Custo de graxa /1.000 h trabalhadas</t>
  </si>
  <si>
    <t>kg/1.000 h</t>
  </si>
  <si>
    <t>Custo com consumos/h trabalhadas</t>
  </si>
  <si>
    <t>R$/h trabalhadas</t>
  </si>
  <si>
    <t xml:space="preserve">Vassourão </t>
  </si>
  <si>
    <t>1.1. Reciclador Turno do Dia</t>
  </si>
  <si>
    <t>1.2. Operador Turno do Dia</t>
  </si>
  <si>
    <t>Reciclador</t>
  </si>
  <si>
    <t>Operador</t>
  </si>
  <si>
    <t>2.1. Uniformes e EPI's para demais categorias</t>
  </si>
  <si>
    <t>Custo do container Roll on off</t>
  </si>
  <si>
    <t>Investimento médio total do container Roll on off</t>
  </si>
  <si>
    <t>Remuneração mensal de capital do container Roll on off</t>
  </si>
  <si>
    <t>Custo de aquisição do container Roll on off</t>
  </si>
  <si>
    <t>Vida útil do container Roll on off</t>
  </si>
  <si>
    <t>Idade do container Roll on off</t>
  </si>
  <si>
    <t>Depreciação do container Roll on off</t>
  </si>
  <si>
    <t>Depreciação mensal do container Roll on off</t>
  </si>
  <si>
    <t xml:space="preserve">Total por veículo </t>
  </si>
  <si>
    <r>
      <t>3.1. Veículo Coletor Bau basculante de</t>
    </r>
    <r>
      <rPr>
        <b/>
        <i/>
        <sz val="12"/>
        <color indexed="10"/>
        <rFont val="Calibri"/>
        <family val="2"/>
        <scheme val="minor"/>
      </rPr>
      <t xml:space="preserve"> </t>
    </r>
    <r>
      <rPr>
        <b/>
        <i/>
        <sz val="12"/>
        <rFont val="Calibri"/>
        <family val="2"/>
        <scheme val="minor"/>
      </rPr>
      <t>30 m³ (mínimo)</t>
    </r>
  </si>
  <si>
    <t>Custo de aquisição do Bau Basculante</t>
  </si>
  <si>
    <t>Vida útil do Bau Basculante</t>
  </si>
  <si>
    <t>Idade do Bau Basculante</t>
  </si>
  <si>
    <t>Depreciação do cBau Basculante</t>
  </si>
  <si>
    <t>Depreciação mensal do Bau Basculante</t>
  </si>
  <si>
    <t>Custo do Bau Basculante</t>
  </si>
  <si>
    <t>Investimento médio total do Bau Basculante</t>
  </si>
  <si>
    <t>Remuneração mensal de capital do Bau Basculante</t>
  </si>
  <si>
    <t>Estação mais próxima (Arroio do Meio):</t>
  </si>
  <si>
    <t>DMT LOCAL:</t>
  </si>
  <si>
    <t>Média diária de 8 horas de coleta (8x1/44)</t>
  </si>
  <si>
    <t>Estação mais próxima (Anta Gorda):</t>
  </si>
  <si>
    <t>DMT aterro Minas do leão:</t>
  </si>
  <si>
    <t>T aterro Minas do leão:</t>
  </si>
  <si>
    <t>T aterro Candiota:</t>
  </si>
  <si>
    <t>60,00 T</t>
  </si>
  <si>
    <t>121,00 T</t>
  </si>
  <si>
    <t>Custo do jogo de pneus 275/80R22.5</t>
  </si>
  <si>
    <t>DMT aterro Santa Maria:</t>
  </si>
  <si>
    <t>T aterro Santa Maria:</t>
  </si>
  <si>
    <t>131,00 T</t>
  </si>
  <si>
    <t>104,00 T</t>
  </si>
  <si>
    <t>Estação mais próxima (Triunfo):</t>
  </si>
  <si>
    <t>Média diária de 2 horas  (2x2/44)</t>
  </si>
  <si>
    <t>PREFEITURA MUNICIPAL DE SÃO JOSE DO HERVAL</t>
  </si>
  <si>
    <t xml:space="preserve">SÃO JOSE DO HERVAL - RS </t>
  </si>
  <si>
    <r>
      <rPr>
        <b/>
        <sz val="11"/>
        <rFont val="Arial"/>
        <family val="2"/>
      </rPr>
      <t xml:space="preserve">A. </t>
    </r>
    <r>
      <rPr>
        <sz val="11"/>
        <rFont val="Arial"/>
        <family val="2"/>
      </rPr>
      <t>Para o cálculo foi considerado que, para cada zona de recolhimento, o caminhão partiria do ponto inicial localizado junto ao acesso principal de São Jose do Herval, realizaria a rota de coleta e retornaria ao ponto de partida, onde, após a dispensa da guarnição, outro motorista assumiria o transporte até o armazenamento na estação de transbordo.</t>
    </r>
  </si>
  <si>
    <r>
      <rPr>
        <b/>
        <sz val="12"/>
        <rFont val="Calibri"/>
        <family val="2"/>
        <scheme val="minor"/>
      </rPr>
      <t>A.</t>
    </r>
    <r>
      <rPr>
        <sz val="12"/>
        <rFont val="Calibri"/>
        <family val="2"/>
        <scheme val="minor"/>
      </rPr>
      <t xml:space="preserve"> Para o cálculo foi considerado que, para cada zona de recolhimento, o caminhão partiria do ponto inicial localizado junto ao acesso principal de São Jose do Herval, realizaria a rota de coleta e retornaria ao ponto de partida, onde, após a dispensa da guarnição, outro motorista assumiria o transporte até a Central de Triagem de RSU com Estação de Transbordo para descarregamento.</t>
    </r>
  </si>
  <si>
    <t>(15T_MÊS/30_DIAS = 0,500T/DIA)</t>
  </si>
  <si>
    <t>3.2. Estacão de transbordo com capacidade mínima de 0,500 Toneladas dia</t>
  </si>
  <si>
    <t>110 km</t>
  </si>
  <si>
    <t>76,8 km</t>
  </si>
  <si>
    <t>57,5 km</t>
  </si>
  <si>
    <t>81,43 km</t>
  </si>
  <si>
    <r>
      <rPr>
        <b/>
        <sz val="11"/>
        <rFont val="Arial"/>
        <family val="2"/>
      </rPr>
      <t xml:space="preserve">C. </t>
    </r>
    <r>
      <rPr>
        <sz val="11"/>
        <rFont val="Arial"/>
        <family val="2"/>
      </rPr>
      <t xml:space="preserve">Coleta Reciclaveis Urbana : </t>
    </r>
    <r>
      <rPr>
        <i/>
        <sz val="11"/>
        <rFont val="Arial"/>
        <family val="2"/>
      </rPr>
      <t>1 x 24,00 km x 4 semanas =</t>
    </r>
    <r>
      <rPr>
        <b/>
        <i/>
        <sz val="11"/>
        <rFont val="Arial"/>
        <family val="2"/>
      </rPr>
      <t xml:space="preserve"> 96,00 km/mês</t>
    </r>
  </si>
  <si>
    <r>
      <rPr>
        <b/>
        <sz val="11"/>
        <rFont val="Arial"/>
        <family val="2"/>
      </rPr>
      <t xml:space="preserve">C. </t>
    </r>
    <r>
      <rPr>
        <sz val="11"/>
        <rFont val="Arial"/>
        <family val="2"/>
      </rPr>
      <t xml:space="preserve">Coleta Reciclaveis Urbana : </t>
    </r>
    <r>
      <rPr>
        <i/>
        <sz val="11"/>
        <rFont val="Arial"/>
        <family val="2"/>
      </rPr>
      <t>1 x 26,1 km x 4 semanas =</t>
    </r>
    <r>
      <rPr>
        <b/>
        <i/>
        <sz val="11"/>
        <rFont val="Arial"/>
        <family val="2"/>
      </rPr>
      <t xml:space="preserve"> 104,40 km/mês</t>
    </r>
  </si>
  <si>
    <t>183,00 km</t>
  </si>
  <si>
    <t>261,00 km</t>
  </si>
  <si>
    <t>471,00 km</t>
  </si>
  <si>
    <t>305,00 km</t>
  </si>
  <si>
    <r>
      <rPr>
        <b/>
        <sz val="11"/>
        <rFont val="Calibri"/>
        <family val="2"/>
        <scheme val="minor"/>
      </rPr>
      <t xml:space="preserve">D. </t>
    </r>
    <r>
      <rPr>
        <i/>
        <sz val="11"/>
        <rFont val="Calibri"/>
        <family val="2"/>
        <scheme val="minor"/>
      </rPr>
      <t xml:space="preserve">Mão de obra: 610,00km/mês  / 60,00km/hora = 10,16horas/mês viagen = </t>
    </r>
    <r>
      <rPr>
        <b/>
        <i/>
        <sz val="11"/>
        <rFont val="Calibri"/>
        <family val="2"/>
        <scheme val="minor"/>
      </rPr>
      <t>10,16 horas/mês</t>
    </r>
  </si>
  <si>
    <t>COLETA, TRANSPORTE, TRANSBORDO, TRIAGEM, TRANSPORTE DE REJEITO E DESTINO FINAL DE RESÍDUOS SÓLIDOS ORGÂNICOS E RECICLÁVEIS</t>
  </si>
  <si>
    <t>PREÇO TOTAL MENSAL COM COLETA, TRANSPORTE, TRANSBORDO, TRIAGEM, TRANSPORTE DE REJEITO E DESTINO FINAL DE RESÍDUOS SÓLIDOS ORGÂNICOS E RECICLÁVEIS</t>
  </si>
  <si>
    <t>Estoque recuperado início do Período 01-01-2019</t>
  </si>
  <si>
    <t>Estoque recuperado final do Período 31-12-2019</t>
  </si>
  <si>
    <t>Variação Emprego Absoluta de 01-01-2019 a 31-12-2019</t>
  </si>
  <si>
    <r>
      <rPr>
        <b/>
        <sz val="11"/>
        <rFont val="Arial"/>
        <family val="2"/>
      </rPr>
      <t xml:space="preserve">D. </t>
    </r>
    <r>
      <rPr>
        <sz val="11"/>
        <rFont val="Arial"/>
        <family val="2"/>
      </rPr>
      <t>Deslocamento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Coleta Reciclaveis Urbana: 1  X 1 viagem(ida e volta de 162,86 Km) = 162,86 km x 4 semanas = </t>
    </r>
    <r>
      <rPr>
        <b/>
        <sz val="11"/>
        <rFont val="Arial"/>
        <family val="2"/>
      </rPr>
      <t>651,44 km/mês</t>
    </r>
  </si>
  <si>
    <r>
      <rPr>
        <b/>
        <sz val="11"/>
        <rFont val="Arial"/>
        <family val="2"/>
      </rPr>
      <t>G</t>
    </r>
    <r>
      <rPr>
        <sz val="11"/>
        <rFont val="Arial"/>
        <family val="2"/>
      </rPr>
      <t xml:space="preserve">. Coleta Reciclaveis Urbana 96,00 km  + Deslocamento Coleta Reciclaveis Urbana 651,44 km  = </t>
    </r>
    <r>
      <rPr>
        <b/>
        <sz val="11"/>
        <rFont val="Arial"/>
        <family val="2"/>
      </rPr>
      <t>747,44 km/mês</t>
    </r>
  </si>
  <si>
    <r>
      <rPr>
        <b/>
        <sz val="11"/>
        <rFont val="Arial"/>
        <family val="2"/>
      </rPr>
      <t>E</t>
    </r>
    <r>
      <rPr>
        <sz val="11"/>
        <rFont val="Arial"/>
        <family val="2"/>
      </rPr>
      <t xml:space="preserve">. Coleta Organica 104,40 km  + Deslocamento Coleta Organica 651,44 km  = </t>
    </r>
    <r>
      <rPr>
        <b/>
        <sz val="11"/>
        <rFont val="Arial"/>
        <family val="2"/>
      </rPr>
      <t>755,84 km/mês</t>
    </r>
  </si>
  <si>
    <r>
      <t xml:space="preserve">B. </t>
    </r>
    <r>
      <rPr>
        <sz val="11"/>
        <rFont val="Arial"/>
        <family val="2"/>
      </rPr>
      <t>Para distância de transporte foi utilizada a distância média das Centrais de Triagens de RSU com Estações de Transbordo, devidamente licenciadas mais proximas e que possuem capacidade para receber os residuos sólidos gerados no município de São Jose do Herval/RS.</t>
    </r>
  </si>
  <si>
    <r>
      <t xml:space="preserve">B. </t>
    </r>
    <r>
      <rPr>
        <sz val="12"/>
        <rFont val="Calibri"/>
        <family val="2"/>
        <scheme val="minor"/>
      </rPr>
      <t>Para distância de transporte foi utilizada a distância média das Centrais de Triagens de RSU com Estações de Transbordo, devidamente licenciadas mais proximas e que possuem capacidade para receber os residuos sólidos gerados no município de São Jose do Herval/RS.</t>
    </r>
  </si>
  <si>
    <t>Média:</t>
  </si>
  <si>
    <r>
      <rPr>
        <b/>
        <sz val="11"/>
        <rFont val="Calibri"/>
        <family val="2"/>
        <scheme val="minor"/>
      </rPr>
      <t>C. 1</t>
    </r>
    <r>
      <rPr>
        <i/>
        <sz val="11"/>
        <rFont val="Calibri"/>
        <family val="2"/>
        <scheme val="minor"/>
      </rPr>
      <t xml:space="preserve"> viagem/mês x (305,00km ida + 305,00km volta) x 1 mês = </t>
    </r>
    <r>
      <rPr>
        <b/>
        <i/>
        <sz val="11"/>
        <rFont val="Calibri"/>
        <family val="2"/>
        <scheme val="minor"/>
      </rPr>
      <t>610,00 km/mês</t>
    </r>
  </si>
  <si>
    <r>
      <rPr>
        <b/>
        <sz val="12"/>
        <rFont val="Calibri"/>
        <family val="2"/>
        <scheme val="minor"/>
      </rPr>
      <t xml:space="preserve">A. </t>
    </r>
    <r>
      <rPr>
        <sz val="12"/>
        <rFont val="Calibri"/>
        <family val="2"/>
        <scheme val="minor"/>
      </rPr>
      <t>Foram consideradas uma viageM de ida/volta para o aterro sanitário por mês</t>
    </r>
  </si>
  <si>
    <r>
      <t xml:space="preserve">B. </t>
    </r>
    <r>
      <rPr>
        <sz val="12"/>
        <rFont val="Calibri"/>
        <family val="2"/>
        <scheme val="minor"/>
      </rPr>
      <t>A distância de transporte foi considerada  entre a distância da Estação de Transbordo ate o aterro sanitário, devidamente licenciado que possue capacidade para receber os residuos sólidos gerados no município.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</si>
</sst>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  <numFmt numFmtId="174" formatCode="0.0"/>
    <numFmt numFmtId="175" formatCode="_(&quot;R$ &quot;* #,##0.00_);_(&quot;R$ &quot;* \(#,##0.00\);_(&quot;R$ &quot;* &quot;-&quot;??_);_(@_)"/>
    <numFmt numFmtId="176" formatCode="_-&quot;R$&quot;* #,##0.00_-;\-&quot;R$&quot;* #,##0.00_-;_-&quot;R$&quot;* &quot;-&quot;_-;_-@_-"/>
    <numFmt numFmtId="177" formatCode="_(* #,##0.0000_);_(* \(#,##0.0000\);_(* &quot;-&quot;??_);_(@_)"/>
    <numFmt numFmtId="178" formatCode="0.000"/>
  </numFmts>
  <fonts count="5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i/>
      <vertAlign val="subscript"/>
      <sz val="11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i/>
      <vertAlign val="subscript"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vertAlign val="subscript"/>
      <sz val="12"/>
      <color indexed="8"/>
      <name val="Calibri"/>
      <family val="2"/>
      <scheme val="minor"/>
    </font>
    <font>
      <b/>
      <i/>
      <vertAlign val="subscript"/>
      <sz val="12"/>
      <color theme="1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indexed="10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" fontId="1" fillId="0" borderId="0"/>
    <xf numFmtId="166" fontId="1" fillId="0" borderId="0" applyFont="0" applyFill="0" applyBorder="0" applyAlignment="0" applyProtection="0"/>
  </cellStyleXfs>
  <cellXfs count="576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0" fontId="3" fillId="0" borderId="0" xfId="0" applyNumberFormat="1" applyFont="1"/>
    <xf numFmtId="9" fontId="8" fillId="0" borderId="0" xfId="2" applyFont="1" applyBorder="1" applyAlignment="1">
      <alignment horizontal="right" vertical="center"/>
    </xf>
    <xf numFmtId="10" fontId="3" fillId="0" borderId="0" xfId="0" applyNumberFormat="1" applyFont="1" applyBorder="1"/>
    <xf numFmtId="0" fontId="10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0" fontId="9" fillId="0" borderId="0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horizontal="left" vertical="center"/>
    </xf>
    <xf numFmtId="10" fontId="8" fillId="0" borderId="0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10" fontId="8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0" fontId="9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justify" vertical="center"/>
    </xf>
    <xf numFmtId="0" fontId="4" fillId="0" borderId="0" xfId="1" applyFont="1" applyBorder="1" applyAlignment="1" applyProtection="1">
      <alignment horizontal="left" vertical="center"/>
    </xf>
    <xf numFmtId="0" fontId="12" fillId="0" borderId="0" xfId="0" applyFont="1" applyBorder="1"/>
    <xf numFmtId="0" fontId="8" fillId="0" borderId="0" xfId="0" applyFont="1" applyBorder="1" applyAlignment="1">
      <alignment horizontal="right" vertical="center"/>
    </xf>
    <xf numFmtId="0" fontId="4" fillId="0" borderId="0" xfId="1" applyFont="1" applyBorder="1" applyAlignment="1" applyProtection="1">
      <alignment vertical="center"/>
    </xf>
    <xf numFmtId="0" fontId="13" fillId="0" borderId="0" xfId="0" applyFont="1"/>
    <xf numFmtId="0" fontId="16" fillId="0" borderId="0" xfId="0" applyFont="1"/>
    <xf numFmtId="0" fontId="16" fillId="0" borderId="35" xfId="0" applyFont="1" applyBorder="1"/>
    <xf numFmtId="0" fontId="16" fillId="0" borderId="0" xfId="0" applyFont="1" applyBorder="1"/>
    <xf numFmtId="0" fontId="16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5" borderId="4" xfId="0" applyFont="1" applyFill="1" applyBorder="1" applyAlignment="1">
      <alignment horizontal="right" vertical="center" wrapText="1"/>
    </xf>
    <xf numFmtId="10" fontId="16" fillId="3" borderId="1" xfId="2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0" fontId="16" fillId="0" borderId="1" xfId="2" applyNumberFormat="1" applyFont="1" applyBorder="1" applyAlignment="1">
      <alignment horizontal="center" vertical="center"/>
    </xf>
    <xf numFmtId="10" fontId="16" fillId="0" borderId="19" xfId="2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8" fillId="0" borderId="0" xfId="0" applyFont="1"/>
    <xf numFmtId="0" fontId="16" fillId="0" borderId="2" xfId="0" applyFont="1" applyFill="1" applyBorder="1" applyAlignment="1">
      <alignment horizontal="center" vertical="center"/>
    </xf>
    <xf numFmtId="9" fontId="18" fillId="0" borderId="33" xfId="2" applyFont="1" applyBorder="1" applyAlignment="1">
      <alignment horizontal="center" vertical="center"/>
    </xf>
    <xf numFmtId="9" fontId="18" fillId="0" borderId="34" xfId="2" applyFont="1" applyBorder="1" applyAlignment="1">
      <alignment horizontal="center" vertical="center"/>
    </xf>
    <xf numFmtId="10" fontId="16" fillId="0" borderId="21" xfId="2" applyNumberFormat="1" applyFont="1" applyBorder="1" applyAlignment="1">
      <alignment horizontal="center" vertical="center"/>
    </xf>
    <xf numFmtId="10" fontId="16" fillId="0" borderId="11" xfId="2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0" fontId="16" fillId="3" borderId="21" xfId="0" applyNumberFormat="1" applyFont="1" applyFill="1" applyBorder="1" applyAlignment="1">
      <alignment horizontal="center" vertical="center"/>
    </xf>
    <xf numFmtId="10" fontId="16" fillId="3" borderId="1" xfId="0" applyNumberFormat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/>
    </xf>
    <xf numFmtId="10" fontId="16" fillId="3" borderId="33" xfId="0" applyNumberFormat="1" applyFont="1" applyFill="1" applyBorder="1" applyAlignment="1">
      <alignment horizontal="center" vertical="center"/>
    </xf>
    <xf numFmtId="10" fontId="16" fillId="0" borderId="16" xfId="2" applyNumberFormat="1" applyFont="1" applyBorder="1" applyAlignment="1">
      <alignment horizontal="right"/>
    </xf>
    <xf numFmtId="10" fontId="16" fillId="0" borderId="17" xfId="2" applyNumberFormat="1" applyFont="1" applyBorder="1" applyAlignment="1">
      <alignment horizontal="right"/>
    </xf>
    <xf numFmtId="0" fontId="19" fillId="0" borderId="0" xfId="0" applyFont="1"/>
    <xf numFmtId="3" fontId="20" fillId="3" borderId="47" xfId="0" applyNumberFormat="1" applyFont="1" applyFill="1" applyBorder="1" applyAlignment="1">
      <alignment horizontal="center" vertical="center"/>
    </xf>
    <xf numFmtId="3" fontId="20" fillId="3" borderId="49" xfId="0" applyNumberFormat="1" applyFont="1" applyFill="1" applyBorder="1" applyAlignment="1">
      <alignment horizontal="center" vertical="center"/>
    </xf>
    <xf numFmtId="3" fontId="16" fillId="3" borderId="49" xfId="0" applyNumberFormat="1" applyFont="1" applyFill="1" applyBorder="1" applyAlignment="1">
      <alignment horizontal="center" vertical="center"/>
    </xf>
    <xf numFmtId="3" fontId="16" fillId="3" borderId="51" xfId="0" applyNumberFormat="1" applyFont="1" applyFill="1" applyBorder="1" applyAlignment="1">
      <alignment horizontal="center" vertical="center"/>
    </xf>
    <xf numFmtId="3" fontId="16" fillId="3" borderId="47" xfId="0" applyNumberFormat="1" applyFont="1" applyFill="1" applyBorder="1" applyAlignment="1">
      <alignment horizontal="center" vertical="center"/>
    </xf>
    <xf numFmtId="0" fontId="16" fillId="0" borderId="36" xfId="0" applyFont="1" applyBorder="1"/>
    <xf numFmtId="170" fontId="21" fillId="0" borderId="47" xfId="0" applyNumberFormat="1" applyFont="1" applyBorder="1" applyAlignment="1">
      <alignment horizontal="center" vertical="center"/>
    </xf>
    <xf numFmtId="170" fontId="21" fillId="0" borderId="49" xfId="0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4" fillId="0" borderId="0" xfId="0" applyFont="1"/>
    <xf numFmtId="9" fontId="16" fillId="0" borderId="49" xfId="0" applyNumberFormat="1" applyFont="1" applyBorder="1" applyAlignment="1">
      <alignment horizontal="center" vertical="center"/>
    </xf>
    <xf numFmtId="170" fontId="16" fillId="0" borderId="49" xfId="0" applyNumberFormat="1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170" fontId="14" fillId="0" borderId="6" xfId="0" applyNumberFormat="1" applyFont="1" applyBorder="1" applyAlignment="1">
      <alignment horizontal="center" vertical="center"/>
    </xf>
    <xf numFmtId="0" fontId="20" fillId="0" borderId="46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0" fontId="20" fillId="0" borderId="4" xfId="0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10" fontId="27" fillId="0" borderId="19" xfId="0" applyNumberFormat="1" applyFont="1" applyBorder="1" applyAlignment="1">
      <alignment horizontal="right" vertical="center"/>
    </xf>
    <xf numFmtId="0" fontId="28" fillId="5" borderId="1" xfId="0" applyFont="1" applyFill="1" applyBorder="1" applyAlignment="1">
      <alignment horizontal="left" vertical="center"/>
    </xf>
    <xf numFmtId="10" fontId="28" fillId="5" borderId="19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28" fillId="9" borderId="33" xfId="0" applyFont="1" applyFill="1" applyBorder="1" applyAlignment="1">
      <alignment horizontal="left" vertical="center"/>
    </xf>
    <xf numFmtId="10" fontId="28" fillId="9" borderId="34" xfId="0" applyNumberFormat="1" applyFont="1" applyFill="1" applyBorder="1" applyAlignment="1">
      <alignment horizontal="right" vertical="center"/>
    </xf>
    <xf numFmtId="0" fontId="27" fillId="0" borderId="22" xfId="0" applyFont="1" applyBorder="1" applyAlignment="1">
      <alignment horizontal="center" vertical="center"/>
    </xf>
    <xf numFmtId="0" fontId="28" fillId="8" borderId="22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8" borderId="19" xfId="0" applyFont="1" applyFill="1" applyBorder="1" applyAlignment="1">
      <alignment horizontal="center" vertical="center"/>
    </xf>
    <xf numFmtId="0" fontId="27" fillId="5" borderId="22" xfId="0" applyFont="1" applyFill="1" applyBorder="1" applyAlignment="1">
      <alignment horizontal="center" vertical="center"/>
    </xf>
    <xf numFmtId="0" fontId="27" fillId="9" borderId="23" xfId="0" applyFont="1" applyFill="1" applyBorder="1" applyAlignment="1">
      <alignment horizontal="center" vertical="center"/>
    </xf>
    <xf numFmtId="0" fontId="27" fillId="11" borderId="22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left" vertical="center"/>
    </xf>
    <xf numFmtId="10" fontId="28" fillId="11" borderId="19" xfId="0" applyNumberFormat="1" applyFont="1" applyFill="1" applyBorder="1" applyAlignment="1">
      <alignment horizontal="right" vertical="center"/>
    </xf>
    <xf numFmtId="0" fontId="25" fillId="0" borderId="48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3" fillId="0" borderId="6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16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 vertical="center"/>
    </xf>
    <xf numFmtId="0" fontId="16" fillId="0" borderId="27" xfId="0" applyFont="1" applyBorder="1"/>
    <xf numFmtId="0" fontId="16" fillId="0" borderId="28" xfId="0" applyFont="1" applyBorder="1"/>
    <xf numFmtId="0" fontId="16" fillId="0" borderId="29" xfId="0" applyFont="1" applyBorder="1"/>
    <xf numFmtId="0" fontId="14" fillId="0" borderId="0" xfId="0" applyFont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6" fillId="0" borderId="0" xfId="0" applyFont="1" applyFill="1"/>
    <xf numFmtId="171" fontId="21" fillId="0" borderId="19" xfId="3" applyNumberFormat="1" applyFont="1" applyBorder="1" applyAlignment="1">
      <alignment horizontal="right" vertical="center" wrapText="1"/>
    </xf>
    <xf numFmtId="0" fontId="16" fillId="0" borderId="22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33" xfId="0" applyFont="1" applyBorder="1" applyAlignment="1">
      <alignment vertical="center"/>
    </xf>
    <xf numFmtId="3" fontId="16" fillId="3" borderId="19" xfId="0" applyNumberFormat="1" applyFont="1" applyFill="1" applyBorder="1" applyAlignment="1">
      <alignment horizontal="right" vertical="center"/>
    </xf>
    <xf numFmtId="172" fontId="16" fillId="0" borderId="19" xfId="0" applyNumberFormat="1" applyFont="1" applyBorder="1" applyAlignment="1">
      <alignment horizontal="right" vertical="center"/>
    </xf>
    <xf numFmtId="2" fontId="16" fillId="0" borderId="19" xfId="0" applyNumberFormat="1" applyFont="1" applyBorder="1" applyAlignment="1">
      <alignment horizontal="right" vertical="center"/>
    </xf>
    <xf numFmtId="172" fontId="16" fillId="3" borderId="19" xfId="0" applyNumberFormat="1" applyFont="1" applyFill="1" applyBorder="1" applyAlignment="1">
      <alignment horizontal="right" vertical="center"/>
    </xf>
    <xf numFmtId="173" fontId="16" fillId="3" borderId="19" xfId="0" applyNumberFormat="1" applyFont="1" applyFill="1" applyBorder="1" applyAlignment="1">
      <alignment horizontal="right" vertical="center"/>
    </xf>
    <xf numFmtId="174" fontId="16" fillId="3" borderId="19" xfId="0" applyNumberFormat="1" applyFont="1" applyFill="1" applyBorder="1" applyAlignment="1">
      <alignment horizontal="right" vertical="center"/>
    </xf>
    <xf numFmtId="2" fontId="16" fillId="3" borderId="19" xfId="0" applyNumberFormat="1" applyFont="1" applyFill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25" fillId="7" borderId="59" xfId="0" applyNumberFormat="1" applyFont="1" applyFill="1" applyBorder="1" applyAlignment="1">
      <alignment horizontal="center" vertical="center"/>
    </xf>
    <xf numFmtId="2" fontId="25" fillId="7" borderId="49" xfId="0" applyNumberFormat="1" applyFont="1" applyFill="1" applyBorder="1" applyAlignment="1">
      <alignment horizontal="center" vertical="center"/>
    </xf>
    <xf numFmtId="2" fontId="25" fillId="7" borderId="52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6" fontId="14" fillId="0" borderId="0" xfId="3" applyFont="1" applyBorder="1" applyAlignment="1">
      <alignment vertical="center"/>
    </xf>
    <xf numFmtId="166" fontId="14" fillId="0" borderId="0" xfId="3" applyFont="1" applyAlignment="1">
      <alignment vertical="center"/>
    </xf>
    <xf numFmtId="166" fontId="16" fillId="0" borderId="0" xfId="3" applyFont="1" applyAlignment="1">
      <alignment vertical="center"/>
    </xf>
    <xf numFmtId="0" fontId="16" fillId="0" borderId="35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166" fontId="16" fillId="0" borderId="0" xfId="3" applyFont="1" applyFill="1" applyBorder="1" applyAlignment="1">
      <alignment vertical="center"/>
    </xf>
    <xf numFmtId="166" fontId="16" fillId="0" borderId="36" xfId="3" applyFont="1" applyFill="1" applyBorder="1" applyAlignment="1">
      <alignment vertical="center"/>
    </xf>
    <xf numFmtId="166" fontId="14" fillId="0" borderId="18" xfId="3" applyFont="1" applyBorder="1" applyAlignment="1">
      <alignment horizontal="center" vertical="center"/>
    </xf>
    <xf numFmtId="166" fontId="16" fillId="0" borderId="10" xfId="3" applyFont="1" applyBorder="1" applyAlignment="1">
      <alignment vertical="center"/>
    </xf>
    <xf numFmtId="166" fontId="14" fillId="0" borderId="10" xfId="3" applyFont="1" applyBorder="1" applyAlignment="1">
      <alignment vertical="center"/>
    </xf>
    <xf numFmtId="166" fontId="14" fillId="0" borderId="32" xfId="3" applyFont="1" applyBorder="1" applyAlignment="1">
      <alignment vertical="center"/>
    </xf>
    <xf numFmtId="166" fontId="14" fillId="0" borderId="11" xfId="3" applyFont="1" applyBorder="1" applyAlignment="1">
      <alignment horizontal="center" vertical="center"/>
    </xf>
    <xf numFmtId="166" fontId="14" fillId="11" borderId="13" xfId="3" applyFont="1" applyFill="1" applyBorder="1" applyAlignment="1">
      <alignment vertical="center"/>
    </xf>
    <xf numFmtId="166" fontId="14" fillId="11" borderId="8" xfId="0" applyNumberFormat="1" applyFont="1" applyFill="1" applyBorder="1" applyAlignment="1">
      <alignment vertical="center"/>
    </xf>
    <xf numFmtId="166" fontId="14" fillId="11" borderId="8" xfId="3" applyFont="1" applyFill="1" applyBorder="1" applyAlignment="1">
      <alignment vertical="center"/>
    </xf>
    <xf numFmtId="169" fontId="14" fillId="11" borderId="1" xfId="0" applyNumberFormat="1" applyFont="1" applyFill="1" applyBorder="1" applyAlignment="1">
      <alignment vertical="center"/>
    </xf>
    <xf numFmtId="10" fontId="14" fillId="11" borderId="14" xfId="2" applyNumberFormat="1" applyFont="1" applyFill="1" applyBorder="1" applyAlignment="1">
      <alignment vertical="center"/>
    </xf>
    <xf numFmtId="166" fontId="16" fillId="0" borderId="13" xfId="3" applyFont="1" applyBorder="1" applyAlignment="1">
      <alignment vertical="center"/>
    </xf>
    <xf numFmtId="166" fontId="16" fillId="0" borderId="8" xfId="0" applyNumberFormat="1" applyFont="1" applyBorder="1" applyAlignment="1">
      <alignment vertical="center"/>
    </xf>
    <xf numFmtId="166" fontId="16" fillId="0" borderId="8" xfId="3" applyFont="1" applyBorder="1" applyAlignment="1">
      <alignment vertical="center"/>
    </xf>
    <xf numFmtId="169" fontId="16" fillId="0" borderId="1" xfId="0" applyNumberFormat="1" applyFont="1" applyBorder="1" applyAlignment="1">
      <alignment vertical="center"/>
    </xf>
    <xf numFmtId="10" fontId="16" fillId="0" borderId="14" xfId="2" applyNumberFormat="1" applyFont="1" applyBorder="1" applyAlignment="1">
      <alignment vertical="center"/>
    </xf>
    <xf numFmtId="166" fontId="14" fillId="11" borderId="13" xfId="3" applyFont="1" applyFill="1" applyBorder="1" applyAlignment="1">
      <alignment horizontal="left" vertical="center"/>
    </xf>
    <xf numFmtId="4" fontId="14" fillId="11" borderId="8" xfId="0" applyNumberFormat="1" applyFont="1" applyFill="1" applyBorder="1" applyAlignment="1">
      <alignment horizontal="centerContinuous" vertical="center"/>
    </xf>
    <xf numFmtId="166" fontId="16" fillId="0" borderId="13" xfId="3" applyFont="1" applyBorder="1" applyAlignment="1">
      <alignment horizontal="left" vertical="center"/>
    </xf>
    <xf numFmtId="4" fontId="16" fillId="0" borderId="8" xfId="0" applyNumberFormat="1" applyFont="1" applyBorder="1" applyAlignment="1">
      <alignment horizontal="centerContinuous" vertical="center"/>
    </xf>
    <xf numFmtId="169" fontId="14" fillId="11" borderId="33" xfId="0" applyNumberFormat="1" applyFont="1" applyFill="1" applyBorder="1" applyAlignment="1">
      <alignment vertical="center"/>
    </xf>
    <xf numFmtId="166" fontId="14" fillId="8" borderId="4" xfId="3" applyFont="1" applyFill="1" applyBorder="1" applyAlignment="1">
      <alignment horizontal="left" vertical="center"/>
    </xf>
    <xf numFmtId="4" fontId="14" fillId="8" borderId="5" xfId="0" applyNumberFormat="1" applyFont="1" applyFill="1" applyBorder="1" applyAlignment="1">
      <alignment horizontal="centerContinuous" vertical="center"/>
    </xf>
    <xf numFmtId="166" fontId="14" fillId="8" borderId="5" xfId="3" applyFont="1" applyFill="1" applyBorder="1" applyAlignment="1">
      <alignment vertical="center"/>
    </xf>
    <xf numFmtId="165" fontId="14" fillId="8" borderId="31" xfId="0" applyNumberFormat="1" applyFont="1" applyFill="1" applyBorder="1" applyAlignment="1">
      <alignment vertical="center"/>
    </xf>
    <xf numFmtId="9" fontId="14" fillId="8" borderId="17" xfId="2" applyFont="1" applyFill="1" applyBorder="1" applyAlignment="1">
      <alignment vertical="center"/>
    </xf>
    <xf numFmtId="1" fontId="16" fillId="0" borderId="19" xfId="3" applyNumberFormat="1" applyFont="1" applyBorder="1" applyAlignment="1">
      <alignment horizontal="center" vertical="center"/>
    </xf>
    <xf numFmtId="166" fontId="16" fillId="0" borderId="0" xfId="3" applyFont="1" applyBorder="1" applyAlignment="1">
      <alignment vertical="center"/>
    </xf>
    <xf numFmtId="1" fontId="16" fillId="0" borderId="34" xfId="3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1" fontId="16" fillId="0" borderId="0" xfId="3" applyNumberFormat="1" applyFont="1" applyBorder="1" applyAlignment="1">
      <alignment horizontal="center" vertical="center"/>
    </xf>
    <xf numFmtId="167" fontId="16" fillId="0" borderId="0" xfId="3" applyNumberFormat="1" applyFont="1" applyBorder="1" applyAlignment="1">
      <alignment horizontal="center" vertical="center"/>
    </xf>
    <xf numFmtId="166" fontId="14" fillId="0" borderId="4" xfId="3" applyFont="1" applyBorder="1" applyAlignment="1">
      <alignment vertical="center"/>
    </xf>
    <xf numFmtId="167" fontId="14" fillId="0" borderId="0" xfId="3" applyNumberFormat="1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166" fontId="14" fillId="2" borderId="16" xfId="3" applyFont="1" applyFill="1" applyBorder="1" applyAlignment="1">
      <alignment horizontal="center" vertical="center"/>
    </xf>
    <xf numFmtId="166" fontId="14" fillId="2" borderId="17" xfId="3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6" fontId="16" fillId="3" borderId="2" xfId="3" applyFont="1" applyFill="1" applyBorder="1" applyAlignment="1">
      <alignment horizontal="center" vertical="center"/>
    </xf>
    <xf numFmtId="166" fontId="16" fillId="0" borderId="2" xfId="3" applyFon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166" fontId="16" fillId="0" borderId="1" xfId="3" applyFont="1" applyBorder="1" applyAlignment="1">
      <alignment horizontal="center" vertical="center"/>
    </xf>
    <xf numFmtId="166" fontId="16" fillId="0" borderId="1" xfId="3" applyFont="1" applyFill="1" applyBorder="1" applyAlignment="1">
      <alignment horizontal="center" vertical="center"/>
    </xf>
    <xf numFmtId="166" fontId="14" fillId="0" borderId="3" xfId="3" applyFont="1" applyBorder="1" applyAlignment="1">
      <alignment horizontal="center" vertical="center"/>
    </xf>
    <xf numFmtId="166" fontId="16" fillId="6" borderId="1" xfId="3" applyFont="1" applyFill="1" applyBorder="1" applyAlignment="1">
      <alignment horizontal="center" vertical="center"/>
    </xf>
    <xf numFmtId="166" fontId="16" fillId="0" borderId="1" xfId="3" applyFont="1" applyBorder="1" applyAlignment="1">
      <alignment vertical="center"/>
    </xf>
    <xf numFmtId="166" fontId="14" fillId="2" borderId="6" xfId="3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166" fontId="14" fillId="0" borderId="1" xfId="3" applyFont="1" applyBorder="1" applyAlignment="1">
      <alignment horizontal="center" vertical="center"/>
    </xf>
    <xf numFmtId="167" fontId="16" fillId="0" borderId="1" xfId="3" applyNumberFormat="1" applyFont="1" applyBorder="1" applyAlignment="1">
      <alignment horizontal="center" vertical="center"/>
    </xf>
    <xf numFmtId="167" fontId="16" fillId="0" borderId="1" xfId="3" applyNumberFormat="1" applyFont="1" applyBorder="1" applyAlignment="1">
      <alignment vertical="center"/>
    </xf>
    <xf numFmtId="167" fontId="16" fillId="0" borderId="1" xfId="3" applyNumberFormat="1" applyFont="1" applyFill="1" applyBorder="1" applyAlignment="1">
      <alignment vertical="center"/>
    </xf>
    <xf numFmtId="166" fontId="16" fillId="3" borderId="1" xfId="3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2" borderId="16" xfId="0" applyFont="1" applyFill="1" applyBorder="1" applyAlignment="1">
      <alignment horizontal="center" vertical="center" wrapText="1"/>
    </xf>
    <xf numFmtId="13" fontId="16" fillId="3" borderId="1" xfId="0" applyNumberFormat="1" applyFont="1" applyFill="1" applyBorder="1" applyAlignment="1">
      <alignment horizontal="center" vertical="center"/>
    </xf>
    <xf numFmtId="166" fontId="16" fillId="0" borderId="0" xfId="3" applyFont="1"/>
    <xf numFmtId="1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0" fontId="38" fillId="0" borderId="0" xfId="1" applyFont="1" applyAlignment="1" applyProtection="1">
      <alignment vertical="center"/>
    </xf>
    <xf numFmtId="164" fontId="16" fillId="0" borderId="0" xfId="0" applyNumberFormat="1" applyFont="1" applyAlignment="1">
      <alignment vertical="center"/>
    </xf>
    <xf numFmtId="0" fontId="14" fillId="0" borderId="45" xfId="0" applyFont="1" applyBorder="1" applyAlignment="1">
      <alignment horizontal="center" vertical="center"/>
    </xf>
    <xf numFmtId="166" fontId="14" fillId="0" borderId="45" xfId="3" applyFont="1" applyBorder="1" applyAlignment="1">
      <alignment horizontal="center" vertical="center"/>
    </xf>
    <xf numFmtId="166" fontId="16" fillId="6" borderId="1" xfId="3" applyFont="1" applyFill="1" applyBorder="1" applyAlignment="1">
      <alignment vertical="center"/>
    </xf>
    <xf numFmtId="166" fontId="16" fillId="0" borderId="1" xfId="0" applyNumberFormat="1" applyFont="1" applyFill="1" applyBorder="1" applyAlignment="1">
      <alignment horizontal="center" vertical="center"/>
    </xf>
    <xf numFmtId="166" fontId="14" fillId="0" borderId="45" xfId="3" applyFont="1" applyFill="1" applyBorder="1" applyAlignment="1">
      <alignment horizontal="center" vertical="center"/>
    </xf>
    <xf numFmtId="166" fontId="14" fillId="0" borderId="1" xfId="3" applyFont="1" applyFill="1" applyBorder="1" applyAlignment="1">
      <alignment horizontal="center" vertical="center"/>
    </xf>
    <xf numFmtId="166" fontId="16" fillId="3" borderId="1" xfId="3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166" fontId="16" fillId="0" borderId="0" xfId="3" applyFont="1" applyFill="1" applyAlignment="1">
      <alignment vertical="center"/>
    </xf>
    <xf numFmtId="0" fontId="16" fillId="0" borderId="0" xfId="0" applyFont="1" applyFill="1" applyAlignment="1">
      <alignment vertical="center"/>
    </xf>
    <xf numFmtId="167" fontId="14" fillId="0" borderId="1" xfId="3" applyNumberFormat="1" applyFont="1" applyBorder="1" applyAlignment="1">
      <alignment horizontal="center" vertical="center"/>
    </xf>
    <xf numFmtId="168" fontId="14" fillId="0" borderId="1" xfId="3" applyNumberFormat="1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66" fontId="16" fillId="0" borderId="2" xfId="3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66" fontId="14" fillId="0" borderId="0" xfId="3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166" fontId="39" fillId="0" borderId="0" xfId="3" applyFont="1" applyAlignment="1">
      <alignment vertical="center"/>
    </xf>
    <xf numFmtId="0" fontId="39" fillId="0" borderId="0" xfId="0" applyFont="1" applyAlignment="1">
      <alignment vertical="center"/>
    </xf>
    <xf numFmtId="166" fontId="14" fillId="8" borderId="30" xfId="3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166" fontId="14" fillId="8" borderId="6" xfId="3" applyFont="1" applyFill="1" applyBorder="1" applyAlignment="1">
      <alignment horizontal="center" vertical="center"/>
    </xf>
    <xf numFmtId="166" fontId="16" fillId="0" borderId="7" xfId="3" applyFont="1" applyBorder="1" applyAlignment="1">
      <alignment horizontal="center" vertical="center"/>
    </xf>
    <xf numFmtId="166" fontId="16" fillId="0" borderId="61" xfId="3" applyFont="1" applyBorder="1" applyAlignment="1">
      <alignment horizontal="center" vertical="center"/>
    </xf>
    <xf numFmtId="166" fontId="16" fillId="0" borderId="7" xfId="3" applyFont="1" applyBorder="1" applyAlignment="1">
      <alignment vertical="center"/>
    </xf>
    <xf numFmtId="0" fontId="14" fillId="8" borderId="4" xfId="0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166" fontId="14" fillId="8" borderId="6" xfId="3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1" applyFont="1" applyAlignment="1" applyProtection="1">
      <alignment vertical="center"/>
    </xf>
    <xf numFmtId="166" fontId="14" fillId="0" borderId="62" xfId="3" applyFont="1" applyBorder="1" applyAlignment="1">
      <alignment horizontal="center" vertical="center"/>
    </xf>
    <xf numFmtId="166" fontId="14" fillId="0" borderId="7" xfId="3" applyFont="1" applyBorder="1" applyAlignment="1">
      <alignment horizontal="center" vertical="center"/>
    </xf>
    <xf numFmtId="166" fontId="14" fillId="0" borderId="63" xfId="3" applyFont="1" applyBorder="1" applyAlignment="1">
      <alignment horizontal="center" vertical="center"/>
    </xf>
    <xf numFmtId="3" fontId="16" fillId="3" borderId="6" xfId="0" applyNumberFormat="1" applyFont="1" applyFill="1" applyBorder="1" applyAlignment="1">
      <alignment vertical="center"/>
    </xf>
    <xf numFmtId="0" fontId="16" fillId="0" borderId="64" xfId="0" applyFont="1" applyBorder="1" applyAlignment="1">
      <alignment horizontal="center" vertical="center"/>
    </xf>
    <xf numFmtId="4" fontId="16" fillId="3" borderId="64" xfId="0" applyNumberFormat="1" applyFont="1" applyFill="1" applyBorder="1" applyAlignment="1">
      <alignment horizontal="center" vertical="center"/>
    </xf>
    <xf numFmtId="168" fontId="16" fillId="3" borderId="64" xfId="3" applyNumberFormat="1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168" fontId="16" fillId="0" borderId="65" xfId="3" applyNumberFormat="1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168" fontId="16" fillId="0" borderId="66" xfId="3" applyNumberFormat="1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4" fontId="16" fillId="3" borderId="67" xfId="0" applyNumberFormat="1" applyFont="1" applyFill="1" applyBorder="1" applyAlignment="1">
      <alignment horizontal="center" vertical="center"/>
    </xf>
    <xf numFmtId="166" fontId="16" fillId="3" borderId="67" xfId="3" applyFont="1" applyFill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4" fontId="16" fillId="3" borderId="68" xfId="0" applyNumberFormat="1" applyFont="1" applyFill="1" applyBorder="1" applyAlignment="1">
      <alignment horizontal="center" vertical="center"/>
    </xf>
    <xf numFmtId="166" fontId="16" fillId="3" borderId="68" xfId="3" applyFont="1" applyFill="1" applyBorder="1" applyAlignment="1">
      <alignment horizontal="center" vertical="center"/>
    </xf>
    <xf numFmtId="166" fontId="16" fillId="0" borderId="56" xfId="3" applyFont="1" applyBorder="1" applyAlignment="1">
      <alignment horizontal="center" vertical="center"/>
    </xf>
    <xf numFmtId="166" fontId="16" fillId="0" borderId="69" xfId="3" applyFont="1" applyBorder="1" applyAlignment="1">
      <alignment horizontal="center" vertical="center"/>
    </xf>
    <xf numFmtId="166" fontId="16" fillId="0" borderId="70" xfId="3" applyFont="1" applyBorder="1" applyAlignment="1">
      <alignment horizontal="center" vertical="center"/>
    </xf>
    <xf numFmtId="166" fontId="16" fillId="0" borderId="71" xfId="3" applyFont="1" applyBorder="1" applyAlignment="1">
      <alignment horizontal="center" vertical="center"/>
    </xf>
    <xf numFmtId="166" fontId="16" fillId="0" borderId="72" xfId="3" applyFont="1" applyBorder="1" applyAlignment="1">
      <alignment horizontal="center" vertical="center"/>
    </xf>
    <xf numFmtId="166" fontId="14" fillId="11" borderId="13" xfId="3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69" fontId="16" fillId="0" borderId="0" xfId="0" applyNumberFormat="1" applyFont="1" applyAlignment="1">
      <alignment vertical="center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173" fontId="16" fillId="0" borderId="34" xfId="0" applyNumberFormat="1" applyFont="1" applyBorder="1" applyAlignment="1">
      <alignment horizontal="right" vertical="center"/>
    </xf>
    <xf numFmtId="0" fontId="16" fillId="0" borderId="73" xfId="0" applyFont="1" applyBorder="1" applyAlignment="1">
      <alignment vertical="center"/>
    </xf>
    <xf numFmtId="166" fontId="16" fillId="8" borderId="36" xfId="3" applyFont="1" applyFill="1" applyBorder="1" applyAlignment="1">
      <alignment vertical="center"/>
    </xf>
    <xf numFmtId="0" fontId="16" fillId="0" borderId="75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166" fontId="16" fillId="8" borderId="74" xfId="3" applyFont="1" applyFill="1" applyBorder="1" applyAlignment="1">
      <alignment horizontal="right" vertical="center"/>
    </xf>
    <xf numFmtId="166" fontId="16" fillId="8" borderId="33" xfId="3" applyFont="1" applyFill="1" applyBorder="1" applyAlignment="1">
      <alignment horizontal="right" vertical="center"/>
    </xf>
    <xf numFmtId="166" fontId="14" fillId="8" borderId="36" xfId="3" applyFont="1" applyFill="1" applyBorder="1" applyAlignment="1">
      <alignment vertical="center"/>
    </xf>
    <xf numFmtId="166" fontId="16" fillId="8" borderId="12" xfId="3" applyFont="1" applyFill="1" applyBorder="1" applyAlignment="1">
      <alignment vertical="center"/>
    </xf>
    <xf numFmtId="166" fontId="16" fillId="8" borderId="77" xfId="3" applyFont="1" applyFill="1" applyBorder="1" applyAlignment="1">
      <alignment vertical="center"/>
    </xf>
    <xf numFmtId="166" fontId="14" fillId="8" borderId="77" xfId="3" applyFont="1" applyFill="1" applyBorder="1" applyAlignment="1">
      <alignment vertical="center"/>
    </xf>
    <xf numFmtId="166" fontId="16" fillId="3" borderId="0" xfId="3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166" fontId="14" fillId="8" borderId="30" xfId="3" applyFont="1" applyFill="1" applyBorder="1" applyAlignment="1">
      <alignment vertical="center"/>
    </xf>
    <xf numFmtId="166" fontId="14" fillId="8" borderId="12" xfId="3" applyFont="1" applyFill="1" applyBorder="1" applyAlignment="1">
      <alignment vertical="center"/>
    </xf>
    <xf numFmtId="166" fontId="16" fillId="8" borderId="78" xfId="3" applyFont="1" applyFill="1" applyBorder="1" applyAlignment="1">
      <alignment vertical="center"/>
    </xf>
    <xf numFmtId="0" fontId="16" fillId="0" borderId="22" xfId="0" applyFont="1" applyBorder="1"/>
    <xf numFmtId="166" fontId="14" fillId="2" borderId="30" xfId="3" applyFont="1" applyFill="1" applyBorder="1" applyAlignment="1">
      <alignment horizontal="center" vertical="center"/>
    </xf>
    <xf numFmtId="13" fontId="16" fillId="3" borderId="2" xfId="0" applyNumberFormat="1" applyFont="1" applyFill="1" applyBorder="1" applyAlignment="1">
      <alignment horizontal="center" vertical="center"/>
    </xf>
    <xf numFmtId="166" fontId="16" fillId="8" borderId="77" xfId="3" applyFont="1" applyFill="1" applyBorder="1"/>
    <xf numFmtId="0" fontId="16" fillId="8" borderId="5" xfId="0" applyFont="1" applyFill="1" applyBorder="1" applyAlignment="1">
      <alignment vertical="center"/>
    </xf>
    <xf numFmtId="166" fontId="16" fillId="8" borderId="5" xfId="3" applyFont="1" applyFill="1" applyBorder="1" applyAlignment="1">
      <alignment vertical="center"/>
    </xf>
    <xf numFmtId="166" fontId="16" fillId="8" borderId="77" xfId="3" applyFont="1" applyFill="1" applyBorder="1" applyAlignment="1">
      <alignment horizontal="center" vertical="center"/>
    </xf>
    <xf numFmtId="0" fontId="14" fillId="0" borderId="79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75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166" fontId="14" fillId="0" borderId="0" xfId="3" applyFont="1" applyBorder="1" applyAlignment="1">
      <alignment horizontal="center" vertical="center"/>
    </xf>
    <xf numFmtId="166" fontId="16" fillId="8" borderId="12" xfId="3" applyFont="1" applyFill="1" applyBorder="1" applyAlignment="1">
      <alignment horizontal="center" vertical="center"/>
    </xf>
    <xf numFmtId="166" fontId="14" fillId="8" borderId="77" xfId="3" applyFont="1" applyFill="1" applyBorder="1" applyAlignment="1">
      <alignment horizontal="center" vertical="center"/>
    </xf>
    <xf numFmtId="166" fontId="14" fillId="8" borderId="27" xfId="0" applyNumberFormat="1" applyFont="1" applyFill="1" applyBorder="1" applyAlignment="1">
      <alignment vertical="center"/>
    </xf>
    <xf numFmtId="0" fontId="14" fillId="8" borderId="28" xfId="0" applyFont="1" applyFill="1" applyBorder="1" applyAlignment="1">
      <alignment vertical="center"/>
    </xf>
    <xf numFmtId="0" fontId="16" fillId="0" borderId="80" xfId="0" applyFont="1" applyBorder="1" applyAlignment="1">
      <alignment vertical="center"/>
    </xf>
    <xf numFmtId="0" fontId="16" fillId="0" borderId="81" xfId="0" applyFont="1" applyBorder="1" applyAlignment="1">
      <alignment vertical="center"/>
    </xf>
    <xf numFmtId="0" fontId="16" fillId="0" borderId="58" xfId="0" applyFont="1" applyBorder="1" applyAlignment="1">
      <alignment vertical="center"/>
    </xf>
    <xf numFmtId="0" fontId="16" fillId="8" borderId="28" xfId="0" applyFont="1" applyFill="1" applyBorder="1" applyAlignment="1">
      <alignment vertical="center"/>
    </xf>
    <xf numFmtId="166" fontId="14" fillId="8" borderId="30" xfId="3" applyNumberFormat="1" applyFont="1" applyFill="1" applyBorder="1" applyAlignment="1">
      <alignment horizontal="center" vertical="center"/>
    </xf>
    <xf numFmtId="166" fontId="14" fillId="5" borderId="13" xfId="3" applyFont="1" applyFill="1" applyBorder="1" applyAlignment="1">
      <alignment vertical="center"/>
    </xf>
    <xf numFmtId="166" fontId="14" fillId="5" borderId="8" xfId="0" applyNumberFormat="1" applyFont="1" applyFill="1" applyBorder="1" applyAlignment="1">
      <alignment vertical="center"/>
    </xf>
    <xf numFmtId="166" fontId="14" fillId="5" borderId="8" xfId="3" applyFont="1" applyFill="1" applyBorder="1" applyAlignment="1">
      <alignment vertical="center"/>
    </xf>
    <xf numFmtId="169" fontId="14" fillId="5" borderId="1" xfId="0" applyNumberFormat="1" applyFont="1" applyFill="1" applyBorder="1" applyAlignment="1">
      <alignment vertical="center"/>
    </xf>
    <xf numFmtId="10" fontId="14" fillId="5" borderId="14" xfId="2" applyNumberFormat="1" applyFont="1" applyFill="1" applyBorder="1" applyAlignment="1">
      <alignment vertical="center"/>
    </xf>
    <xf numFmtId="166" fontId="14" fillId="5" borderId="13" xfId="3" applyFont="1" applyFill="1" applyBorder="1" applyAlignment="1">
      <alignment horizontal="left" vertical="center"/>
    </xf>
    <xf numFmtId="4" fontId="14" fillId="5" borderId="8" xfId="0" applyNumberFormat="1" applyFont="1" applyFill="1" applyBorder="1" applyAlignment="1">
      <alignment horizontal="centerContinuous" vertical="center"/>
    </xf>
    <xf numFmtId="166" fontId="14" fillId="5" borderId="82" xfId="3" applyFont="1" applyFill="1" applyBorder="1" applyAlignment="1">
      <alignment horizontal="left" vertical="center"/>
    </xf>
    <xf numFmtId="4" fontId="14" fillId="5" borderId="60" xfId="0" applyNumberFormat="1" applyFont="1" applyFill="1" applyBorder="1" applyAlignment="1">
      <alignment horizontal="centerContinuous" vertical="center"/>
    </xf>
    <xf numFmtId="166" fontId="14" fillId="5" borderId="60" xfId="3" applyFont="1" applyFill="1" applyBorder="1" applyAlignment="1">
      <alignment vertical="center"/>
    </xf>
    <xf numFmtId="169" fontId="14" fillId="5" borderId="3" xfId="0" applyNumberFormat="1" applyFont="1" applyFill="1" applyBorder="1" applyAlignment="1">
      <alignment vertical="center"/>
    </xf>
    <xf numFmtId="169" fontId="14" fillId="9" borderId="16" xfId="0" applyNumberFormat="1" applyFont="1" applyFill="1" applyBorder="1" applyAlignment="1">
      <alignment vertical="center"/>
    </xf>
    <xf numFmtId="10" fontId="14" fillId="9" borderId="6" xfId="2" applyNumberFormat="1" applyFont="1" applyFill="1" applyBorder="1" applyAlignment="1">
      <alignment vertical="center"/>
    </xf>
    <xf numFmtId="10" fontId="16" fillId="0" borderId="14" xfId="2" applyNumberFormat="1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166" fontId="16" fillId="0" borderId="22" xfId="3" applyFont="1" applyBorder="1" applyAlignment="1">
      <alignment vertical="center"/>
    </xf>
    <xf numFmtId="166" fontId="14" fillId="0" borderId="22" xfId="3" applyFont="1" applyBorder="1" applyAlignment="1">
      <alignment vertical="center"/>
    </xf>
    <xf numFmtId="1" fontId="14" fillId="0" borderId="19" xfId="3" applyNumberFormat="1" applyFont="1" applyBorder="1" applyAlignment="1">
      <alignment horizontal="center" vertical="center"/>
    </xf>
    <xf numFmtId="166" fontId="16" fillId="0" borderId="19" xfId="3" applyFont="1" applyBorder="1" applyAlignment="1">
      <alignment vertical="center"/>
    </xf>
    <xf numFmtId="166" fontId="16" fillId="0" borderId="23" xfId="3" applyFont="1" applyBorder="1" applyAlignment="1">
      <alignment vertical="center"/>
    </xf>
    <xf numFmtId="166" fontId="16" fillId="0" borderId="33" xfId="3" applyFont="1" applyBorder="1" applyAlignment="1">
      <alignment vertical="center"/>
    </xf>
    <xf numFmtId="166" fontId="16" fillId="9" borderId="33" xfId="3" applyFont="1" applyFill="1" applyBorder="1" applyAlignment="1">
      <alignment horizontal="right" vertical="center"/>
    </xf>
    <xf numFmtId="166" fontId="14" fillId="2" borderId="30" xfId="3" applyNumberFormat="1" applyFont="1" applyFill="1" applyBorder="1" applyAlignment="1">
      <alignment horizontal="center" vertical="center"/>
    </xf>
    <xf numFmtId="166" fontId="14" fillId="2" borderId="6" xfId="3" applyFont="1" applyFill="1" applyBorder="1" applyAlignment="1">
      <alignment vertical="center"/>
    </xf>
    <xf numFmtId="166" fontId="14" fillId="11" borderId="19" xfId="3" applyFont="1" applyFill="1" applyBorder="1" applyAlignment="1">
      <alignment horizontal="right" vertical="center"/>
    </xf>
    <xf numFmtId="166" fontId="14" fillId="11" borderId="44" xfId="3" applyFont="1" applyFill="1" applyBorder="1" applyAlignment="1">
      <alignment horizontal="right" vertical="center"/>
    </xf>
    <xf numFmtId="1" fontId="16" fillId="0" borderId="3" xfId="0" applyNumberFormat="1" applyFont="1" applyBorder="1" applyAlignment="1">
      <alignment horizontal="center" vertical="center"/>
    </xf>
    <xf numFmtId="166" fontId="16" fillId="0" borderId="3" xfId="3" applyFont="1" applyBorder="1" applyAlignment="1">
      <alignment horizontal="center" vertical="center"/>
    </xf>
    <xf numFmtId="166" fontId="14" fillId="8" borderId="6" xfId="3" applyFont="1" applyFill="1" applyBorder="1" applyAlignment="1">
      <alignment horizontal="center" vertical="center"/>
    </xf>
    <xf numFmtId="166" fontId="14" fillId="11" borderId="13" xfId="3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66" fontId="14" fillId="11" borderId="13" xfId="3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9" fontId="16" fillId="0" borderId="0" xfId="2" applyFont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169" fontId="14" fillId="11" borderId="3" xfId="0" applyNumberFormat="1" applyFont="1" applyFill="1" applyBorder="1" applyAlignment="1">
      <alignment vertical="center"/>
    </xf>
    <xf numFmtId="165" fontId="16" fillId="0" borderId="0" xfId="0" applyNumberFormat="1" applyFont="1" applyAlignment="1">
      <alignment vertical="center"/>
    </xf>
    <xf numFmtId="0" fontId="16" fillId="0" borderId="73" xfId="0" applyFont="1" applyBorder="1" applyAlignment="1">
      <alignment vertical="center" wrapText="1"/>
    </xf>
    <xf numFmtId="10" fontId="16" fillId="11" borderId="14" xfId="2" applyNumberFormat="1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4" fontId="16" fillId="0" borderId="28" xfId="0" applyNumberFormat="1" applyFont="1" applyFill="1" applyBorder="1" applyAlignment="1">
      <alignment vertical="center"/>
    </xf>
    <xf numFmtId="166" fontId="16" fillId="0" borderId="28" xfId="3" applyFont="1" applyFill="1" applyBorder="1" applyAlignment="1">
      <alignment vertical="center"/>
    </xf>
    <xf numFmtId="4" fontId="1" fillId="13" borderId="60" xfId="5" applyFont="1" applyFill="1" applyBorder="1" applyAlignment="1">
      <alignment vertical="center"/>
    </xf>
    <xf numFmtId="4" fontId="41" fillId="13" borderId="0" xfId="5" applyFont="1" applyFill="1" applyBorder="1" applyAlignment="1">
      <alignment vertical="center"/>
    </xf>
    <xf numFmtId="4" fontId="1" fillId="13" borderId="39" xfId="5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2" fillId="0" borderId="0" xfId="5" applyFont="1" applyAlignment="1">
      <alignment vertical="center"/>
    </xf>
    <xf numFmtId="4" fontId="19" fillId="14" borderId="85" xfId="5" applyFont="1" applyFill="1" applyBorder="1" applyAlignment="1">
      <alignment vertical="center"/>
    </xf>
    <xf numFmtId="4" fontId="19" fillId="14" borderId="86" xfId="5" applyFont="1" applyFill="1" applyBorder="1" applyAlignment="1">
      <alignment horizontal="center" vertical="center"/>
    </xf>
    <xf numFmtId="175" fontId="19" fillId="14" borderId="86" xfId="4" applyFont="1" applyFill="1" applyBorder="1" applyAlignment="1">
      <alignment horizontal="center" vertical="center"/>
    </xf>
    <xf numFmtId="4" fontId="19" fillId="14" borderId="87" xfId="5" applyFont="1" applyFill="1" applyBorder="1" applyAlignment="1">
      <alignment horizontal="center" vertical="center"/>
    </xf>
    <xf numFmtId="4" fontId="19" fillId="14" borderId="88" xfId="5" applyFont="1" applyFill="1" applyBorder="1" applyAlignment="1">
      <alignment horizontal="center" vertical="center"/>
    </xf>
    <xf numFmtId="4" fontId="2" fillId="0" borderId="0" xfId="5" applyFont="1" applyAlignment="1">
      <alignment horizontal="center" vertical="center"/>
    </xf>
    <xf numFmtId="4" fontId="13" fillId="15" borderId="90" xfId="5" applyFont="1" applyFill="1" applyBorder="1" applyAlignment="1">
      <alignment vertical="center"/>
    </xf>
    <xf numFmtId="175" fontId="13" fillId="15" borderId="91" xfId="4" applyFont="1" applyFill="1" applyBorder="1" applyAlignment="1">
      <alignment vertical="center"/>
    </xf>
    <xf numFmtId="10" fontId="13" fillId="15" borderId="91" xfId="2" applyNumberFormat="1" applyFont="1" applyFill="1" applyBorder="1" applyAlignment="1">
      <alignment horizontal="center" vertical="center"/>
    </xf>
    <xf numFmtId="176" fontId="13" fillId="15" borderId="91" xfId="5" applyNumberFormat="1" applyFont="1" applyFill="1" applyBorder="1" applyAlignment="1">
      <alignment vertical="center"/>
    </xf>
    <xf numFmtId="176" fontId="13" fillId="15" borderId="92" xfId="5" applyNumberFormat="1" applyFont="1" applyFill="1" applyBorder="1" applyAlignment="1">
      <alignment vertical="center"/>
    </xf>
    <xf numFmtId="4" fontId="2" fillId="2" borderId="0" xfId="5" applyFont="1" applyFill="1" applyAlignment="1">
      <alignment vertical="center"/>
    </xf>
    <xf numFmtId="4" fontId="1" fillId="0" borderId="0" xfId="5" applyFont="1" applyAlignment="1">
      <alignment vertical="center"/>
    </xf>
    <xf numFmtId="167" fontId="19" fillId="16" borderId="93" xfId="6" applyNumberFormat="1" applyFont="1" applyFill="1" applyBorder="1" applyAlignment="1">
      <alignment horizontal="center" vertical="center"/>
    </xf>
    <xf numFmtId="4" fontId="19" fillId="16" borderId="94" xfId="5" applyFont="1" applyFill="1" applyBorder="1" applyAlignment="1">
      <alignment vertical="center"/>
    </xf>
    <xf numFmtId="175" fontId="19" fillId="12" borderId="95" xfId="4" applyFont="1" applyFill="1" applyBorder="1" applyAlignment="1">
      <alignment vertical="center"/>
    </xf>
    <xf numFmtId="10" fontId="19" fillId="16" borderId="95" xfId="2" applyNumberFormat="1" applyFont="1" applyFill="1" applyBorder="1" applyAlignment="1">
      <alignment horizontal="center" vertical="center"/>
    </xf>
    <xf numFmtId="176" fontId="19" fillId="16" borderId="95" xfId="5" applyNumberFormat="1" applyFont="1" applyFill="1" applyBorder="1" applyAlignment="1">
      <alignment vertical="center"/>
    </xf>
    <xf numFmtId="176" fontId="19" fillId="16" borderId="96" xfId="5" applyNumberFormat="1" applyFont="1" applyFill="1" applyBorder="1" applyAlignment="1">
      <alignment vertical="center"/>
    </xf>
    <xf numFmtId="4" fontId="1" fillId="0" borderId="0" xfId="5" applyFont="1" applyAlignment="1">
      <alignment horizontal="center" vertical="center"/>
    </xf>
    <xf numFmtId="175" fontId="1" fillId="0" borderId="0" xfId="4" applyFont="1" applyAlignment="1">
      <alignment vertical="center"/>
    </xf>
    <xf numFmtId="0" fontId="19" fillId="15" borderId="89" xfId="6" applyNumberFormat="1" applyFont="1" applyFill="1" applyBorder="1" applyAlignment="1">
      <alignment horizontal="center" vertical="center"/>
    </xf>
    <xf numFmtId="4" fontId="19" fillId="14" borderId="0" xfId="5" applyFont="1" applyFill="1" applyBorder="1" applyAlignment="1">
      <alignment horizontal="center"/>
    </xf>
    <xf numFmtId="175" fontId="19" fillId="14" borderId="98" xfId="4" applyFont="1" applyFill="1" applyBorder="1" applyAlignment="1">
      <alignment horizontal="center" vertical="center"/>
    </xf>
    <xf numFmtId="4" fontId="19" fillId="14" borderId="98" xfId="5" applyFont="1" applyFill="1" applyBorder="1" applyAlignment="1">
      <alignment horizontal="center" vertical="center"/>
    </xf>
    <xf numFmtId="10" fontId="14" fillId="3" borderId="6" xfId="2" applyNumberFormat="1" applyFont="1" applyFill="1" applyBorder="1" applyAlignment="1">
      <alignment vertical="center"/>
    </xf>
    <xf numFmtId="177" fontId="16" fillId="9" borderId="33" xfId="3" applyNumberFormat="1" applyFont="1" applyFill="1" applyBorder="1" applyAlignment="1">
      <alignment vertical="center"/>
    </xf>
    <xf numFmtId="177" fontId="16" fillId="8" borderId="33" xfId="3" applyNumberFormat="1" applyFont="1" applyFill="1" applyBorder="1" applyAlignment="1">
      <alignment vertical="center"/>
    </xf>
    <xf numFmtId="177" fontId="16" fillId="8" borderId="78" xfId="3" applyNumberFormat="1" applyFont="1" applyFill="1" applyBorder="1" applyAlignment="1">
      <alignment vertical="center"/>
    </xf>
    <xf numFmtId="167" fontId="16" fillId="0" borderId="3" xfId="3" applyNumberFormat="1" applyFont="1" applyFill="1" applyBorder="1" applyAlignment="1">
      <alignment vertical="center"/>
    </xf>
    <xf numFmtId="166" fontId="16" fillId="3" borderId="3" xfId="3" applyNumberFormat="1" applyFont="1" applyFill="1" applyBorder="1" applyAlignment="1">
      <alignment horizontal="center" vertical="center"/>
    </xf>
    <xf numFmtId="166" fontId="16" fillId="0" borderId="63" xfId="3" applyFont="1" applyBorder="1" applyAlignment="1">
      <alignment vertical="center"/>
    </xf>
    <xf numFmtId="166" fontId="16" fillId="8" borderId="100" xfId="3" applyFont="1" applyFill="1" applyBorder="1" applyAlignment="1">
      <alignment horizontal="right" vertical="center"/>
    </xf>
    <xf numFmtId="177" fontId="16" fillId="8" borderId="100" xfId="3" applyNumberFormat="1" applyFont="1" applyFill="1" applyBorder="1" applyAlignment="1">
      <alignment vertical="center"/>
    </xf>
    <xf numFmtId="166" fontId="14" fillId="4" borderId="1" xfId="3" applyFont="1" applyFill="1" applyBorder="1" applyAlignment="1">
      <alignment vertical="center"/>
    </xf>
    <xf numFmtId="166" fontId="16" fillId="4" borderId="1" xfId="3" applyFont="1" applyFill="1" applyBorder="1" applyAlignment="1">
      <alignment vertical="center"/>
    </xf>
    <xf numFmtId="166" fontId="14" fillId="8" borderId="19" xfId="3" applyFont="1" applyFill="1" applyBorder="1" applyAlignment="1">
      <alignment vertical="center"/>
    </xf>
    <xf numFmtId="10" fontId="16" fillId="0" borderId="0" xfId="0" applyNumberFormat="1" applyFont="1"/>
    <xf numFmtId="178" fontId="16" fillId="0" borderId="1" xfId="0" applyNumberFormat="1" applyFont="1" applyBorder="1" applyAlignment="1">
      <alignment horizontal="center" vertical="center"/>
    </xf>
    <xf numFmtId="166" fontId="16" fillId="0" borderId="75" xfId="3" applyFont="1" applyBorder="1" applyAlignment="1">
      <alignment vertical="center"/>
    </xf>
    <xf numFmtId="166" fontId="16" fillId="0" borderId="3" xfId="3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1" fontId="16" fillId="0" borderId="101" xfId="3" applyNumberFormat="1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6" fillId="11" borderId="75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66" fontId="16" fillId="0" borderId="1" xfId="0" applyNumberFormat="1" applyFont="1" applyBorder="1" applyAlignment="1">
      <alignment horizontal="center" vertical="center"/>
    </xf>
    <xf numFmtId="166" fontId="14" fillId="11" borderId="101" xfId="3" applyFont="1" applyFill="1" applyBorder="1" applyAlignment="1">
      <alignment horizontal="right" vertical="center"/>
    </xf>
    <xf numFmtId="166" fontId="14" fillId="0" borderId="23" xfId="3" applyFont="1" applyBorder="1" applyAlignment="1">
      <alignment vertical="center"/>
    </xf>
    <xf numFmtId="1" fontId="14" fillId="0" borderId="34" xfId="3" applyNumberFormat="1" applyFont="1" applyBorder="1" applyAlignment="1">
      <alignment horizontal="center" vertical="center"/>
    </xf>
    <xf numFmtId="0" fontId="16" fillId="11" borderId="75" xfId="0" applyFont="1" applyFill="1" applyBorder="1" applyAlignment="1">
      <alignment horizontal="center" vertical="center"/>
    </xf>
    <xf numFmtId="0" fontId="16" fillId="0" borderId="102" xfId="0" applyFont="1" applyBorder="1" applyAlignment="1">
      <alignment vertical="center"/>
    </xf>
    <xf numFmtId="0" fontId="16" fillId="0" borderId="103" xfId="0" applyFont="1" applyBorder="1" applyAlignment="1">
      <alignment horizontal="center" vertical="center"/>
    </xf>
    <xf numFmtId="4" fontId="16" fillId="3" borderId="103" xfId="0" applyNumberFormat="1" applyFont="1" applyFill="1" applyBorder="1" applyAlignment="1">
      <alignment horizontal="center" vertical="center"/>
    </xf>
    <xf numFmtId="166" fontId="16" fillId="0" borderId="104" xfId="3" applyFont="1" applyBorder="1" applyAlignment="1">
      <alignment horizontal="center" vertical="center"/>
    </xf>
    <xf numFmtId="168" fontId="16" fillId="0" borderId="1" xfId="3" applyNumberFormat="1" applyFont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166" fontId="47" fillId="0" borderId="0" xfId="3" applyFont="1" applyBorder="1" applyAlignment="1">
      <alignment vertical="center"/>
    </xf>
    <xf numFmtId="169" fontId="16" fillId="11" borderId="1" xfId="0" applyNumberFormat="1" applyFont="1" applyFill="1" applyBorder="1" applyAlignment="1">
      <alignment vertical="center"/>
    </xf>
    <xf numFmtId="4" fontId="49" fillId="0" borderId="0" xfId="0" applyNumberFormat="1" applyFont="1" applyAlignment="1">
      <alignment horizontal="right" vertical="center"/>
    </xf>
    <xf numFmtId="4" fontId="49" fillId="0" borderId="0" xfId="0" applyNumberFormat="1" applyFont="1" applyAlignment="1">
      <alignment vertical="center"/>
    </xf>
    <xf numFmtId="4" fontId="47" fillId="0" borderId="0" xfId="0" applyNumberFormat="1" applyFont="1" applyAlignment="1">
      <alignment vertical="center"/>
    </xf>
    <xf numFmtId="4" fontId="50" fillId="0" borderId="0" xfId="0" applyNumberFormat="1" applyFont="1" applyAlignment="1">
      <alignment horizontal="right" vertical="center"/>
    </xf>
    <xf numFmtId="4" fontId="16" fillId="3" borderId="6" xfId="0" applyNumberFormat="1" applyFont="1" applyFill="1" applyBorder="1" applyAlignment="1">
      <alignment vertical="center"/>
    </xf>
    <xf numFmtId="166" fontId="16" fillId="0" borderId="66" xfId="3" applyNumberFormat="1" applyFont="1" applyBorder="1" applyAlignment="1">
      <alignment horizontal="center" vertical="center"/>
    </xf>
    <xf numFmtId="166" fontId="16" fillId="0" borderId="65" xfId="3" applyNumberFormat="1" applyFont="1" applyBorder="1" applyAlignment="1">
      <alignment horizontal="center" vertical="center"/>
    </xf>
    <xf numFmtId="166" fontId="16" fillId="0" borderId="1" xfId="3" applyNumberFormat="1" applyFont="1" applyBorder="1" applyAlignment="1">
      <alignment horizontal="center" vertical="center"/>
    </xf>
    <xf numFmtId="166" fontId="16" fillId="3" borderId="6" xfId="0" applyNumberFormat="1" applyFont="1" applyFill="1" applyBorder="1" applyAlignment="1">
      <alignment vertical="center"/>
    </xf>
    <xf numFmtId="166" fontId="14" fillId="5" borderId="13" xfId="3" applyFont="1" applyFill="1" applyBorder="1" applyAlignment="1">
      <alignment horizontal="left" vertical="center"/>
    </xf>
    <xf numFmtId="166" fontId="14" fillId="5" borderId="8" xfId="3" applyFont="1" applyFill="1" applyBorder="1" applyAlignment="1">
      <alignment horizontal="left" vertical="center"/>
    </xf>
    <xf numFmtId="166" fontId="14" fillId="9" borderId="4" xfId="3" applyFont="1" applyFill="1" applyBorder="1" applyAlignment="1">
      <alignment horizontal="left" vertical="distributed"/>
    </xf>
    <xf numFmtId="166" fontId="14" fillId="9" borderId="5" xfId="3" applyFont="1" applyFill="1" applyBorder="1" applyAlignment="1">
      <alignment horizontal="left" vertical="distributed"/>
    </xf>
    <xf numFmtId="166" fontId="14" fillId="9" borderId="40" xfId="3" applyFont="1" applyFill="1" applyBorder="1" applyAlignment="1">
      <alignment horizontal="left" vertical="distributed"/>
    </xf>
    <xf numFmtId="166" fontId="14" fillId="8" borderId="4" xfId="3" applyFont="1" applyFill="1" applyBorder="1" applyAlignment="1">
      <alignment horizontal="center" vertical="center"/>
    </xf>
    <xf numFmtId="166" fontId="14" fillId="8" borderId="5" xfId="3" applyFont="1" applyFill="1" applyBorder="1" applyAlignment="1">
      <alignment horizontal="center" vertical="center"/>
    </xf>
    <xf numFmtId="166" fontId="14" fillId="8" borderId="6" xfId="3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41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4" fontId="19" fillId="14" borderId="97" xfId="5" applyFont="1" applyFill="1" applyBorder="1" applyAlignment="1">
      <alignment horizontal="center" vertical="center"/>
    </xf>
    <xf numFmtId="4" fontId="19" fillId="14" borderId="85" xfId="5" applyFont="1" applyFill="1" applyBorder="1" applyAlignment="1">
      <alignment horizontal="center" vertical="center"/>
    </xf>
    <xf numFmtId="4" fontId="19" fillId="14" borderId="99" xfId="5" applyFont="1" applyFill="1" applyBorder="1" applyAlignment="1">
      <alignment horizontal="center" vertical="center"/>
    </xf>
    <xf numFmtId="0" fontId="42" fillId="12" borderId="24" xfId="0" applyFont="1" applyFill="1" applyBorder="1" applyAlignment="1">
      <alignment horizontal="center" vertical="center"/>
    </xf>
    <xf numFmtId="0" fontId="42" fillId="12" borderId="25" xfId="0" applyFont="1" applyFill="1" applyBorder="1" applyAlignment="1">
      <alignment horizontal="center" vertical="center"/>
    </xf>
    <xf numFmtId="0" fontId="42" fillId="12" borderId="26" xfId="0" applyFont="1" applyFill="1" applyBorder="1" applyAlignment="1">
      <alignment horizontal="center" vertical="center"/>
    </xf>
    <xf numFmtId="0" fontId="42" fillId="12" borderId="27" xfId="0" applyFont="1" applyFill="1" applyBorder="1" applyAlignment="1">
      <alignment horizontal="center" vertical="center"/>
    </xf>
    <xf numFmtId="0" fontId="42" fillId="12" borderId="28" xfId="0" applyFont="1" applyFill="1" applyBorder="1" applyAlignment="1">
      <alignment horizontal="center" vertical="center"/>
    </xf>
    <xf numFmtId="0" fontId="42" fillId="12" borderId="29" xfId="0" applyFont="1" applyFill="1" applyBorder="1" applyAlignment="1">
      <alignment horizontal="center" vertical="center"/>
    </xf>
    <xf numFmtId="4" fontId="19" fillId="14" borderId="83" xfId="5" applyFont="1" applyFill="1" applyBorder="1" applyAlignment="1">
      <alignment horizontal="center" vertical="center"/>
    </xf>
    <xf numFmtId="4" fontId="19" fillId="14" borderId="84" xfId="5" applyFont="1" applyFill="1" applyBorder="1" applyAlignment="1">
      <alignment horizontal="center" vertical="center"/>
    </xf>
    <xf numFmtId="175" fontId="14" fillId="12" borderId="24" xfId="4" applyFont="1" applyFill="1" applyBorder="1" applyAlignment="1">
      <alignment horizontal="center" vertical="center"/>
    </xf>
    <xf numFmtId="175" fontId="14" fillId="12" borderId="25" xfId="4" applyFont="1" applyFill="1" applyBorder="1" applyAlignment="1">
      <alignment horizontal="center" vertical="center"/>
    </xf>
    <xf numFmtId="175" fontId="14" fillId="12" borderId="26" xfId="4" applyFont="1" applyFill="1" applyBorder="1" applyAlignment="1">
      <alignment horizontal="center" vertical="center"/>
    </xf>
    <xf numFmtId="175" fontId="14" fillId="12" borderId="35" xfId="4" applyFont="1" applyFill="1" applyBorder="1" applyAlignment="1">
      <alignment horizontal="center" vertical="center"/>
    </xf>
    <xf numFmtId="175" fontId="14" fillId="12" borderId="0" xfId="4" applyFont="1" applyFill="1" applyBorder="1" applyAlignment="1">
      <alignment horizontal="center" vertical="center"/>
    </xf>
    <xf numFmtId="175" fontId="14" fillId="12" borderId="36" xfId="4" applyFont="1" applyFill="1" applyBorder="1" applyAlignment="1">
      <alignment horizontal="center" vertical="center"/>
    </xf>
    <xf numFmtId="0" fontId="42" fillId="14" borderId="27" xfId="0" applyFont="1" applyFill="1" applyBorder="1" applyAlignment="1">
      <alignment horizontal="center" vertical="center"/>
    </xf>
    <xf numFmtId="0" fontId="42" fillId="14" borderId="28" xfId="0" applyFont="1" applyFill="1" applyBorder="1" applyAlignment="1">
      <alignment horizontal="center" vertical="center"/>
    </xf>
    <xf numFmtId="0" fontId="42" fillId="14" borderId="29" xfId="0" applyFont="1" applyFill="1" applyBorder="1" applyAlignment="1">
      <alignment horizontal="center" vertical="center"/>
    </xf>
    <xf numFmtId="166" fontId="14" fillId="8" borderId="37" xfId="0" applyNumberFormat="1" applyFont="1" applyFill="1" applyBorder="1" applyAlignment="1">
      <alignment horizontal="left" vertical="center"/>
    </xf>
    <xf numFmtId="166" fontId="14" fillId="8" borderId="38" xfId="0" applyNumberFormat="1" applyFont="1" applyFill="1" applyBorder="1" applyAlignment="1">
      <alignment horizontal="left" vertical="center"/>
    </xf>
    <xf numFmtId="166" fontId="14" fillId="8" borderId="74" xfId="0" applyNumberFormat="1" applyFont="1" applyFill="1" applyBorder="1" applyAlignment="1">
      <alignment horizontal="left" vertical="center"/>
    </xf>
    <xf numFmtId="0" fontId="14" fillId="8" borderId="38" xfId="0" applyFont="1" applyFill="1" applyBorder="1" applyAlignment="1">
      <alignment horizontal="left" vertical="center"/>
    </xf>
    <xf numFmtId="4" fontId="47" fillId="0" borderId="25" xfId="0" applyNumberFormat="1" applyFont="1" applyBorder="1" applyAlignment="1">
      <alignment horizontal="left" vertical="distributed"/>
    </xf>
    <xf numFmtId="4" fontId="48" fillId="0" borderId="0" xfId="0" applyNumberFormat="1" applyFont="1" applyAlignment="1">
      <alignment horizontal="left" vertical="center" wrapText="1"/>
    </xf>
    <xf numFmtId="4" fontId="47" fillId="0" borderId="0" xfId="0" applyNumberFormat="1" applyFont="1" applyAlignment="1">
      <alignment horizontal="left" vertical="center" wrapText="1"/>
    </xf>
    <xf numFmtId="4" fontId="47" fillId="0" borderId="0" xfId="0" applyNumberFormat="1" applyFont="1" applyAlignment="1">
      <alignment horizontal="left" vertical="center"/>
    </xf>
    <xf numFmtId="166" fontId="14" fillId="2" borderId="37" xfId="3" applyFont="1" applyFill="1" applyBorder="1" applyAlignment="1">
      <alignment horizontal="left" vertical="center"/>
    </xf>
    <xf numFmtId="166" fontId="14" fillId="2" borderId="28" xfId="3" applyFont="1" applyFill="1" applyBorder="1" applyAlignment="1">
      <alignment horizontal="left" vertical="center"/>
    </xf>
    <xf numFmtId="166" fontId="14" fillId="2" borderId="76" xfId="3" applyFont="1" applyFill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4" fontId="16" fillId="0" borderId="0" xfId="0" applyNumberFormat="1" applyFont="1" applyBorder="1" applyAlignment="1">
      <alignment horizontal="left" vertical="center"/>
    </xf>
    <xf numFmtId="166" fontId="16" fillId="0" borderId="0" xfId="3" applyFont="1" applyBorder="1" applyAlignment="1">
      <alignment horizontal="left" vertical="center"/>
    </xf>
    <xf numFmtId="166" fontId="14" fillId="11" borderId="13" xfId="3" applyFont="1" applyFill="1" applyBorder="1" applyAlignment="1">
      <alignment horizontal="left" vertical="center"/>
    </xf>
    <xf numFmtId="166" fontId="14" fillId="11" borderId="8" xfId="3" applyFont="1" applyFill="1" applyBorder="1" applyAlignment="1">
      <alignment horizontal="left" vertical="center"/>
    </xf>
    <xf numFmtId="166" fontId="14" fillId="8" borderId="20" xfId="3" applyFont="1" applyFill="1" applyBorder="1" applyAlignment="1">
      <alignment horizontal="center" vertical="center"/>
    </xf>
    <xf numFmtId="166" fontId="14" fillId="8" borderId="21" xfId="3" applyFont="1" applyFill="1" applyBorder="1" applyAlignment="1">
      <alignment horizontal="center" vertical="center"/>
    </xf>
    <xf numFmtId="166" fontId="14" fillId="8" borderId="11" xfId="3" applyFont="1" applyFill="1" applyBorder="1" applyAlignment="1">
      <alignment horizontal="center" vertical="center"/>
    </xf>
    <xf numFmtId="166" fontId="14" fillId="11" borderId="22" xfId="3" applyFont="1" applyFill="1" applyBorder="1" applyAlignment="1">
      <alignment horizontal="center" vertical="center"/>
    </xf>
    <xf numFmtId="166" fontId="14" fillId="11" borderId="1" xfId="3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11" borderId="22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66" fontId="14" fillId="2" borderId="38" xfId="3" applyFont="1" applyFill="1" applyBorder="1" applyAlignment="1">
      <alignment horizontal="left" vertical="center"/>
    </xf>
    <xf numFmtId="166" fontId="14" fillId="2" borderId="74" xfId="3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166" fontId="14" fillId="2" borderId="27" xfId="3" applyFont="1" applyFill="1" applyBorder="1" applyAlignment="1">
      <alignment horizontal="left" vertical="center"/>
    </xf>
    <xf numFmtId="0" fontId="14" fillId="8" borderId="37" xfId="0" applyFont="1" applyFill="1" applyBorder="1" applyAlignment="1">
      <alignment horizontal="left" vertical="center"/>
    </xf>
    <xf numFmtId="0" fontId="14" fillId="8" borderId="74" xfId="0" applyFont="1" applyFill="1" applyBorder="1" applyAlignment="1">
      <alignment horizontal="left" vertical="center"/>
    </xf>
    <xf numFmtId="166" fontId="14" fillId="8" borderId="37" xfId="0" applyNumberFormat="1" applyFont="1" applyFill="1" applyBorder="1" applyAlignment="1">
      <alignment horizontal="left" vertical="center" wrapText="1"/>
    </xf>
    <xf numFmtId="166" fontId="14" fillId="8" borderId="38" xfId="0" applyNumberFormat="1" applyFont="1" applyFill="1" applyBorder="1" applyAlignment="1">
      <alignment horizontal="left" vertical="center" wrapText="1"/>
    </xf>
    <xf numFmtId="166" fontId="14" fillId="8" borderId="74" xfId="0" applyNumberFormat="1" applyFont="1" applyFill="1" applyBorder="1" applyAlignment="1">
      <alignment horizontal="left" vertical="center" wrapText="1"/>
    </xf>
    <xf numFmtId="166" fontId="16" fillId="9" borderId="37" xfId="0" applyNumberFormat="1" applyFont="1" applyFill="1" applyBorder="1" applyAlignment="1">
      <alignment vertical="center"/>
    </xf>
    <xf numFmtId="0" fontId="16" fillId="9" borderId="38" xfId="0" applyFont="1" applyFill="1" applyBorder="1" applyAlignment="1">
      <alignment vertical="center"/>
    </xf>
    <xf numFmtId="0" fontId="16" fillId="9" borderId="74" xfId="0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left" vertical="center" wrapText="1"/>
    </xf>
    <xf numFmtId="4" fontId="16" fillId="0" borderId="0" xfId="0" applyNumberFormat="1" applyFont="1" applyBorder="1" applyAlignment="1">
      <alignment horizontal="left" vertical="center" wrapText="1"/>
    </xf>
    <xf numFmtId="166" fontId="14" fillId="8" borderId="15" xfId="3" applyFont="1" applyFill="1" applyBorder="1" applyAlignment="1">
      <alignment horizontal="center" vertical="center"/>
    </xf>
    <xf numFmtId="166" fontId="14" fillId="8" borderId="16" xfId="3" applyFont="1" applyFill="1" applyBorder="1" applyAlignment="1">
      <alignment horizontal="center" vertical="center"/>
    </xf>
    <xf numFmtId="166" fontId="14" fillId="8" borderId="17" xfId="3" applyFont="1" applyFill="1" applyBorder="1" applyAlignment="1">
      <alignment horizontal="center" vertical="center"/>
    </xf>
    <xf numFmtId="166" fontId="14" fillId="11" borderId="73" xfId="3" applyFont="1" applyFill="1" applyBorder="1" applyAlignment="1">
      <alignment horizontal="center" vertical="center"/>
    </xf>
    <xf numFmtId="166" fontId="14" fillId="11" borderId="2" xfId="3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14" fillId="8" borderId="29" xfId="0" applyFont="1" applyFill="1" applyBorder="1" applyAlignment="1">
      <alignment horizontal="center" vertical="center"/>
    </xf>
    <xf numFmtId="0" fontId="14" fillId="8" borderId="38" xfId="0" applyFont="1" applyFill="1" applyBorder="1" applyAlignment="1">
      <alignment horizontal="left" vertical="center" wrapText="1"/>
    </xf>
    <xf numFmtId="0" fontId="14" fillId="8" borderId="74" xfId="0" applyFont="1" applyFill="1" applyBorder="1" applyAlignment="1">
      <alignment horizontal="left" vertical="center" wrapText="1"/>
    </xf>
    <xf numFmtId="166" fontId="16" fillId="8" borderId="37" xfId="0" applyNumberFormat="1" applyFont="1" applyFill="1" applyBorder="1" applyAlignment="1">
      <alignment horizontal="left" vertical="center"/>
    </xf>
    <xf numFmtId="0" fontId="16" fillId="8" borderId="38" xfId="0" applyFont="1" applyFill="1" applyBorder="1" applyAlignment="1">
      <alignment horizontal="left" vertical="center"/>
    </xf>
    <xf numFmtId="0" fontId="16" fillId="8" borderId="74" xfId="0" applyFont="1" applyFill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4" fontId="43" fillId="0" borderId="0" xfId="0" applyNumberFormat="1" applyFont="1" applyBorder="1" applyAlignment="1">
      <alignment horizontal="left" vertical="center"/>
    </xf>
    <xf numFmtId="4" fontId="16" fillId="0" borderId="25" xfId="0" applyNumberFormat="1" applyFont="1" applyBorder="1" applyAlignment="1">
      <alignment horizontal="left" vertical="center"/>
    </xf>
    <xf numFmtId="0" fontId="16" fillId="0" borderId="28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4" fontId="23" fillId="0" borderId="0" xfId="0" applyNumberFormat="1" applyFont="1" applyBorder="1" applyAlignment="1">
      <alignment horizontal="center" vertical="center"/>
    </xf>
    <xf numFmtId="4" fontId="24" fillId="0" borderId="0" xfId="0" applyNumberFormat="1" applyFont="1" applyBorder="1" applyAlignment="1">
      <alignment horizontal="center" vertical="center"/>
    </xf>
    <xf numFmtId="166" fontId="14" fillId="8" borderId="23" xfId="0" applyNumberFormat="1" applyFont="1" applyFill="1" applyBorder="1" applyAlignment="1">
      <alignment horizontal="left" vertical="center"/>
    </xf>
    <xf numFmtId="0" fontId="14" fillId="8" borderId="33" xfId="0" applyFont="1" applyFill="1" applyBorder="1" applyAlignment="1">
      <alignment horizontal="left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4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10" borderId="18" xfId="0" applyFont="1" applyFill="1" applyBorder="1" applyAlignment="1">
      <alignment horizontal="center" vertical="center"/>
    </xf>
    <xf numFmtId="0" fontId="14" fillId="10" borderId="4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4" fillId="10" borderId="4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0" fontId="14" fillId="5" borderId="40" xfId="0" applyNumberFormat="1" applyFont="1" applyFill="1" applyBorder="1" applyAlignment="1">
      <alignment horizontal="center" vertical="center" wrapText="1"/>
    </xf>
    <xf numFmtId="10" fontId="14" fillId="5" borderId="16" xfId="0" applyNumberFormat="1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9" fontId="17" fillId="0" borderId="21" xfId="2" applyFont="1" applyBorder="1" applyAlignment="1">
      <alignment horizontal="center" vertical="center"/>
    </xf>
    <xf numFmtId="9" fontId="17" fillId="0" borderId="11" xfId="2" applyFont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4" fillId="10" borderId="17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36" xfId="0" applyFont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14" fillId="10" borderId="4" xfId="0" applyFont="1" applyFill="1" applyBorder="1" applyAlignment="1">
      <alignment horizontal="center"/>
    </xf>
    <xf numFmtId="0" fontId="14" fillId="10" borderId="5" xfId="0" applyFont="1" applyFill="1" applyBorder="1" applyAlignment="1">
      <alignment horizontal="center"/>
    </xf>
    <xf numFmtId="0" fontId="14" fillId="10" borderId="6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4" fillId="10" borderId="16" xfId="0" applyFont="1" applyFill="1" applyBorder="1" applyAlignment="1">
      <alignment horizontal="center" vertical="center"/>
    </xf>
  </cellXfs>
  <cellStyles count="7">
    <cellStyle name="Hiperlink" xfId="1" builtinId="8"/>
    <cellStyle name="Moeda 2" xfId="4"/>
    <cellStyle name="Normal" xfId="0" builtinId="0"/>
    <cellStyle name="Normal 3" xfId="5"/>
    <cellStyle name="Porcentagem" xfId="2" builtinId="5"/>
    <cellStyle name="Separador de milhares 2" xfId="6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&#233;dio%20Administrativo\Engenharia\Dados%20Privados\N&#237;via\001_Obra%20em%20Projeto\Pavimenta&#231;&#245;es\Asf&#225;ltica\Linha%2032\Or&#231;am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BDI"/>
      <sheetName val="Memória de Cálculo"/>
      <sheetName val="Projeto"/>
      <sheetName val="CRONOGRAMA"/>
      <sheetName val="MOBILIZAÇÃO E DESMOBILIZAÇÃO"/>
      <sheetName val="COMPOSIÇÃO AUXILIAR CBUQ"/>
    </sheetNames>
    <sheetDataSet>
      <sheetData sheetId="0" refreshError="1">
        <row r="2">
          <cell r="A2" t="str">
            <v>PREFEITURA MUNICIPAL DE ARROIO DO MEIO</v>
          </cell>
        </row>
        <row r="73">
          <cell r="A73" t="str">
            <v>TOTAL GERAL DO ORÇAMENTO: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view="pageBreakPreview" topLeftCell="A19" zoomScaleNormal="100" zoomScaleSheetLayoutView="100" workbookViewId="0">
      <selection activeCell="C44" sqref="C44"/>
    </sheetView>
  </sheetViews>
  <sheetFormatPr defaultColWidth="9.140625" defaultRowHeight="15.75" x14ac:dyDescent="0.2"/>
  <cols>
    <col min="1" max="1" width="52.7109375" style="109" customWidth="1"/>
    <col min="2" max="2" width="19.85546875" style="109" customWidth="1"/>
    <col min="3" max="3" width="14.7109375" style="109" customWidth="1"/>
    <col min="4" max="4" width="14.7109375" style="145" customWidth="1"/>
    <col min="5" max="5" width="16.140625" style="145" customWidth="1"/>
    <col min="6" max="6" width="13.28515625" style="145" customWidth="1"/>
    <col min="7" max="7" width="28.140625" style="145" customWidth="1"/>
    <col min="8" max="8" width="9.140625" style="109"/>
    <col min="9" max="9" width="14.5703125" style="109" customWidth="1"/>
    <col min="10" max="10" width="13.42578125" style="109" customWidth="1"/>
    <col min="11" max="16384" width="9.140625" style="109"/>
  </cols>
  <sheetData>
    <row r="1" spans="1:9" x14ac:dyDescent="0.2">
      <c r="A1" s="431" t="s">
        <v>189</v>
      </c>
      <c r="B1" s="431"/>
      <c r="C1" s="431"/>
      <c r="D1" s="431"/>
      <c r="E1" s="431"/>
      <c r="F1" s="431"/>
    </row>
    <row r="2" spans="1:9" ht="15.6" customHeight="1" x14ac:dyDescent="0.2">
      <c r="A2" s="432" t="s">
        <v>328</v>
      </c>
      <c r="B2" s="432"/>
      <c r="C2" s="432"/>
      <c r="D2" s="432"/>
      <c r="E2" s="432"/>
      <c r="F2" s="432"/>
    </row>
    <row r="3" spans="1:9" ht="16.5" customHeight="1" thickBot="1" x14ac:dyDescent="0.25">
      <c r="A3" s="433"/>
      <c r="B3" s="433"/>
      <c r="C3" s="433"/>
      <c r="D3" s="433"/>
      <c r="E3" s="433"/>
      <c r="F3" s="433"/>
    </row>
    <row r="4" spans="1:9" x14ac:dyDescent="0.2">
      <c r="A4" s="434" t="s">
        <v>473</v>
      </c>
      <c r="B4" s="435"/>
      <c r="C4" s="435"/>
      <c r="D4" s="435"/>
      <c r="E4" s="435"/>
      <c r="F4" s="436"/>
    </row>
    <row r="5" spans="1:9" ht="21.75" customHeight="1" x14ac:dyDescent="0.2">
      <c r="A5" s="437" t="s">
        <v>40</v>
      </c>
      <c r="B5" s="438"/>
      <c r="C5" s="438"/>
      <c r="D5" s="438"/>
      <c r="E5" s="438"/>
      <c r="F5" s="439"/>
    </row>
    <row r="6" spans="1:9" ht="10.9" customHeight="1" thickBot="1" x14ac:dyDescent="0.25">
      <c r="A6" s="146"/>
      <c r="B6" s="147"/>
      <c r="C6" s="147"/>
      <c r="D6" s="148"/>
      <c r="E6" s="148"/>
      <c r="F6" s="149"/>
    </row>
    <row r="7" spans="1:9" ht="15.75" customHeight="1" thickBot="1" x14ac:dyDescent="0.25">
      <c r="A7" s="428" t="s">
        <v>188</v>
      </c>
      <c r="B7" s="429"/>
      <c r="C7" s="429"/>
      <c r="D7" s="429"/>
      <c r="E7" s="429"/>
      <c r="F7" s="430"/>
    </row>
    <row r="8" spans="1:9" ht="15.75" customHeight="1" x14ac:dyDescent="0.2">
      <c r="A8" s="150" t="s">
        <v>187</v>
      </c>
      <c r="B8" s="151"/>
      <c r="C8" s="151"/>
      <c r="D8" s="152"/>
      <c r="E8" s="153" t="s">
        <v>35</v>
      </c>
      <c r="F8" s="154" t="s">
        <v>2</v>
      </c>
    </row>
    <row r="9" spans="1:9" s="118" customFormat="1" ht="15.75" customHeight="1" x14ac:dyDescent="0.2">
      <c r="A9" s="308" t="str">
        <f>'1.1.Coleta Resíduos Orgânicos'!A19</f>
        <v>1. Mão-de-obra</v>
      </c>
      <c r="B9" s="309"/>
      <c r="C9" s="310"/>
      <c r="D9" s="310"/>
      <c r="E9" s="311">
        <f>SUM(E10:E14)</f>
        <v>5817.976696230442</v>
      </c>
      <c r="F9" s="312">
        <f t="shared" ref="F9:F23" si="0">E9/$E$49</f>
        <v>0.23921494386929348</v>
      </c>
      <c r="G9" s="144"/>
    </row>
    <row r="10" spans="1:9" ht="15.75" customHeight="1" x14ac:dyDescent="0.2">
      <c r="A10" s="160" t="str">
        <f>'1.1.Coleta Resíduos Orgânicos'!A20</f>
        <v>1.1. Coletor Turno Dia</v>
      </c>
      <c r="B10" s="161"/>
      <c r="C10" s="162"/>
      <c r="D10" s="162"/>
      <c r="E10" s="163">
        <f>'1.1.Coleta Resíduos Orgânicos'!E20+'1.2.Coleta Resíduos Recicláveis'!E20+'1.3.Triagem com Transbordo'!E14</f>
        <v>3358.8591037926526</v>
      </c>
      <c r="F10" s="321">
        <f t="shared" si="0"/>
        <v>0.13810459098250052</v>
      </c>
      <c r="I10" s="265"/>
    </row>
    <row r="11" spans="1:9" ht="15.75" customHeight="1" x14ac:dyDescent="0.2">
      <c r="A11" s="160" t="str">
        <f>'1.1.Coleta Resíduos Orgânicos'!A21</f>
        <v>1.2. Motorista Turno do Dia</v>
      </c>
      <c r="B11" s="161"/>
      <c r="C11" s="162"/>
      <c r="D11" s="162"/>
      <c r="E11" s="163">
        <f>'1.1.Coleta Resíduos Orgânicos'!E21+'1.2.Coleta Resíduos Recicláveis'!E21+'1.3.Triagem com Transbordo'!E15+'1.4.Destino final'!E19</f>
        <v>2115.1553204377897</v>
      </c>
      <c r="F11" s="321">
        <f t="shared" si="0"/>
        <v>8.6967821920151997E-2</v>
      </c>
    </row>
    <row r="12" spans="1:9" ht="15.75" customHeight="1" x14ac:dyDescent="0.2">
      <c r="A12" s="160" t="str">
        <f>'1.1.Coleta Resíduos Orgânicos'!A22</f>
        <v>1.3. Vale Transporte</v>
      </c>
      <c r="B12" s="161"/>
      <c r="C12" s="162"/>
      <c r="D12" s="162"/>
      <c r="E12" s="163">
        <f>'1.1.Coleta Resíduos Orgânicos'!E22+'1.2.Coleta Resíduos Recicláveis'!E22+'1.3.Triagem com Transbordo'!E16+'1.4.Destino final'!E20</f>
        <v>-506.07899999999995</v>
      </c>
      <c r="F12" s="321">
        <f t="shared" si="0"/>
        <v>-2.0808206340335793E-2</v>
      </c>
    </row>
    <row r="13" spans="1:9" ht="15.75" customHeight="1" x14ac:dyDescent="0.2">
      <c r="A13" s="160" t="str">
        <f>'1.1.Coleta Resíduos Orgânicos'!A23</f>
        <v>1.4. Vale-refeição (diário)</v>
      </c>
      <c r="B13" s="161"/>
      <c r="C13" s="162"/>
      <c r="D13" s="162"/>
      <c r="E13" s="163">
        <f>'1.1.Coleta Resíduos Orgânicos'!E23+'1.2.Coleta Resíduos Recicláveis'!E23+'1.3.Triagem com Transbordo'!E17+'1.4.Destino final'!E21</f>
        <v>804.80522400000007</v>
      </c>
      <c r="F13" s="321">
        <f t="shared" si="0"/>
        <v>3.309078852268553E-2</v>
      </c>
    </row>
    <row r="14" spans="1:9" ht="15.75" customHeight="1" x14ac:dyDescent="0.2">
      <c r="A14" s="160" t="str">
        <f>'1.1.Coleta Resíduos Orgânicos'!A24</f>
        <v>1.5. Auxílio Alimentação (mensal)</v>
      </c>
      <c r="B14" s="161"/>
      <c r="C14" s="162"/>
      <c r="D14" s="162"/>
      <c r="E14" s="163">
        <f>'1.1.Coleta Resíduos Orgânicos'!E24+'1.2.Coleta Resíduos Recicláveis'!E24+'1.3.Triagem com Transbordo'!E18+'1.4.Destino final'!E22</f>
        <v>45.236047999999997</v>
      </c>
      <c r="F14" s="321">
        <f t="shared" si="0"/>
        <v>1.8599487842912554E-3</v>
      </c>
    </row>
    <row r="15" spans="1:9" s="118" customFormat="1" ht="15.75" customHeight="1" x14ac:dyDescent="0.2">
      <c r="A15" s="423" t="str">
        <f>'1.1.Coleta Resíduos Orgânicos'!A25:C25</f>
        <v>2. Uniformes e Equipamentos de Proteção Individual</v>
      </c>
      <c r="B15" s="424"/>
      <c r="C15" s="424"/>
      <c r="D15" s="310"/>
      <c r="E15" s="311">
        <f>'1.1.Coleta Resíduos Orgânicos'!E25+'1.2.Coleta Resíduos Recicláveis'!E25+'1.3.Triagem com Transbordo'!E19+'1.4.Destino final'!E23</f>
        <v>226.64840156666668</v>
      </c>
      <c r="F15" s="312">
        <f t="shared" si="0"/>
        <v>9.3189930949643968E-3</v>
      </c>
      <c r="G15" s="144"/>
    </row>
    <row r="16" spans="1:9" s="118" customFormat="1" ht="15.75" customHeight="1" x14ac:dyDescent="0.2">
      <c r="A16" s="423" t="str">
        <f>'1.1.Coleta Resíduos Orgânicos'!A26:C26</f>
        <v>3. Veículos e Equipamentos</v>
      </c>
      <c r="B16" s="424"/>
      <c r="C16" s="424"/>
      <c r="D16" s="310"/>
      <c r="E16" s="311">
        <f>E17+E24+E31+E38</f>
        <v>11909.753115166162</v>
      </c>
      <c r="F16" s="312">
        <f t="shared" si="0"/>
        <v>0.48968757898042503</v>
      </c>
      <c r="G16" s="144"/>
    </row>
    <row r="17" spans="1:7" ht="15.75" customHeight="1" x14ac:dyDescent="0.2">
      <c r="A17" s="263" t="str">
        <f>'1.1.Coleta Resíduos Orgânicos'!A27</f>
        <v>3.1. Veículo Coletor Compactador 12 m³ (mínimo)</v>
      </c>
      <c r="B17" s="166"/>
      <c r="C17" s="157"/>
      <c r="D17" s="157"/>
      <c r="E17" s="158">
        <f>SUM(E18:E23)</f>
        <v>3861.379368823164</v>
      </c>
      <c r="F17" s="159">
        <f t="shared" si="0"/>
        <v>0.15876647453221332</v>
      </c>
    </row>
    <row r="18" spans="1:7" ht="15.75" customHeight="1" x14ac:dyDescent="0.2">
      <c r="A18" s="167" t="str">
        <f>'1.1.Coleta Resíduos Orgânicos'!A28</f>
        <v>3.1.1. Depreciação</v>
      </c>
      <c r="B18" s="168"/>
      <c r="C18" s="162"/>
      <c r="D18" s="162"/>
      <c r="E18" s="163">
        <f>'1.1.Coleta Resíduos Orgânicos'!E28</f>
        <v>210.24384656724007</v>
      </c>
      <c r="F18" s="321">
        <f t="shared" si="0"/>
        <v>8.6444949131598645E-3</v>
      </c>
    </row>
    <row r="19" spans="1:7" ht="15.75" customHeight="1" x14ac:dyDescent="0.2">
      <c r="A19" s="167" t="str">
        <f>'1.1.Coleta Resíduos Orgânicos'!A29</f>
        <v>3.1.2. Remuneração do Capital</v>
      </c>
      <c r="B19" s="168"/>
      <c r="C19" s="162"/>
      <c r="D19" s="162"/>
      <c r="E19" s="163">
        <f>'1.1.Coleta Resíduos Orgânicos'!E29</f>
        <v>245.04528340809762</v>
      </c>
      <c r="F19" s="321">
        <f t="shared" si="0"/>
        <v>1.0075408819338005E-2</v>
      </c>
    </row>
    <row r="20" spans="1:7" ht="15.75" customHeight="1" x14ac:dyDescent="0.2">
      <c r="A20" s="167" t="str">
        <f>'1.1.Coleta Resíduos Orgânicos'!A30</f>
        <v>3.1.3. Impostos e Seguros</v>
      </c>
      <c r="B20" s="168"/>
      <c r="C20" s="162"/>
      <c r="D20" s="162"/>
      <c r="E20" s="163">
        <f>'1.1.Coleta Resíduos Orgânicos'!E30</f>
        <v>81.800758500000001</v>
      </c>
      <c r="F20" s="321">
        <f t="shared" si="0"/>
        <v>3.3633623637099683E-3</v>
      </c>
    </row>
    <row r="21" spans="1:7" ht="15.75" customHeight="1" x14ac:dyDescent="0.2">
      <c r="A21" s="167" t="str">
        <f>'1.1.Coleta Resíduos Orgânicos'!A31</f>
        <v>3.1.4. Consumos</v>
      </c>
      <c r="B21" s="168"/>
      <c r="C21" s="162"/>
      <c r="D21" s="162"/>
      <c r="E21" s="163">
        <f>'1.1.Coleta Resíduos Orgânicos'!E31</f>
        <v>2462.2539603478263</v>
      </c>
      <c r="F21" s="321">
        <f t="shared" si="0"/>
        <v>0.10123930941459053</v>
      </c>
    </row>
    <row r="22" spans="1:7" ht="15.75" customHeight="1" x14ac:dyDescent="0.2">
      <c r="A22" s="167" t="str">
        <f>'1.1.Coleta Resíduos Orgânicos'!A32</f>
        <v>3.1.5. Manutenção</v>
      </c>
      <c r="B22" s="168"/>
      <c r="C22" s="162"/>
      <c r="D22" s="162"/>
      <c r="E22" s="163">
        <f>'1.1.Coleta Resíduos Orgânicos'!E32</f>
        <v>718.048</v>
      </c>
      <c r="F22" s="321">
        <f t="shared" si="0"/>
        <v>2.9523633555759942E-2</v>
      </c>
    </row>
    <row r="23" spans="1:7" ht="15.75" customHeight="1" x14ac:dyDescent="0.2">
      <c r="A23" s="167" t="str">
        <f>'1.1.Coleta Resíduos Orgânicos'!A33</f>
        <v>3.1.6. Pneus</v>
      </c>
      <c r="B23" s="168"/>
      <c r="C23" s="162"/>
      <c r="D23" s="162"/>
      <c r="E23" s="163">
        <f>'1.1.Coleta Resíduos Orgânicos'!E33</f>
        <v>143.98752000000002</v>
      </c>
      <c r="F23" s="321">
        <f t="shared" si="0"/>
        <v>5.9202654656550207E-3</v>
      </c>
    </row>
    <row r="24" spans="1:7" s="118" customFormat="1" ht="15.75" customHeight="1" x14ac:dyDescent="0.2">
      <c r="A24" s="339" t="str">
        <f>'1.2.Coleta Resíduos Recicláveis'!A27</f>
        <v>3.1. Veículo Coletor Bau basculante de 30 m³ (mínimo)</v>
      </c>
      <c r="B24" s="166"/>
      <c r="C24" s="157"/>
      <c r="D24" s="157"/>
      <c r="E24" s="158">
        <f>SUM(E25:E30)</f>
        <v>3824.4350001275116</v>
      </c>
      <c r="F24" s="159">
        <f t="shared" ref="F24:F48" si="1">E24/$E$49</f>
        <v>0.15724745072973867</v>
      </c>
      <c r="G24" s="144"/>
    </row>
    <row r="25" spans="1:7" ht="15.75" customHeight="1" x14ac:dyDescent="0.2">
      <c r="A25" s="167" t="str">
        <f>'1.2.Coleta Resíduos Recicláveis'!A28</f>
        <v>3.2.1. Depreciação</v>
      </c>
      <c r="B25" s="168"/>
      <c r="C25" s="162"/>
      <c r="D25" s="162"/>
      <c r="E25" s="163">
        <f>'1.2.Coleta Resíduos Recicláveis'!E28</f>
        <v>210.24384656724007</v>
      </c>
      <c r="F25" s="321">
        <f t="shared" si="1"/>
        <v>8.6444949131598645E-3</v>
      </c>
    </row>
    <row r="26" spans="1:7" ht="15.75" customHeight="1" x14ac:dyDescent="0.2">
      <c r="A26" s="167" t="str">
        <f>'1.2.Coleta Resíduos Recicláveis'!A29</f>
        <v>3.2.2. Remuneração do Capital</v>
      </c>
      <c r="B26" s="168"/>
      <c r="C26" s="162"/>
      <c r="D26" s="162"/>
      <c r="E26" s="163">
        <f>'1.2.Coleta Resíduos Recicláveis'!E29</f>
        <v>245.04528340809762</v>
      </c>
      <c r="F26" s="321">
        <f t="shared" si="1"/>
        <v>1.0075408819338005E-2</v>
      </c>
    </row>
    <row r="27" spans="1:7" ht="15.75" customHeight="1" x14ac:dyDescent="0.2">
      <c r="A27" s="167" t="str">
        <f>'1.2.Coleta Resíduos Recicláveis'!A30</f>
        <v>3.2.3. Impostos e Seguros</v>
      </c>
      <c r="B27" s="168"/>
      <c r="C27" s="162"/>
      <c r="D27" s="162"/>
      <c r="E27" s="163">
        <f>'1.2.Coleta Resíduos Recicláveis'!E30</f>
        <v>81.800758500000001</v>
      </c>
      <c r="F27" s="321">
        <f t="shared" si="1"/>
        <v>3.3633623637099683E-3</v>
      </c>
    </row>
    <row r="28" spans="1:7" ht="15.75" customHeight="1" x14ac:dyDescent="0.2">
      <c r="A28" s="167" t="str">
        <f>'1.2.Coleta Resíduos Recicláveis'!A31</f>
        <v>3.2.4. Consumos</v>
      </c>
      <c r="B28" s="168"/>
      <c r="C28" s="162"/>
      <c r="D28" s="162"/>
      <c r="E28" s="163">
        <f>'1.2.Coleta Resíduos Recicláveis'!E31</f>
        <v>2434.8897916521742</v>
      </c>
      <c r="F28" s="321">
        <f t="shared" si="1"/>
        <v>0.10011419007837842</v>
      </c>
    </row>
    <row r="29" spans="1:7" ht="15.75" customHeight="1" x14ac:dyDescent="0.2">
      <c r="A29" s="167" t="str">
        <f>'1.2.Coleta Resíduos Recicláveis'!A32</f>
        <v>3.2.5. Manutenção</v>
      </c>
      <c r="B29" s="168"/>
      <c r="C29" s="162"/>
      <c r="D29" s="162"/>
      <c r="E29" s="163">
        <f>'1.2.Coleta Resíduos Recicláveis'!E32</f>
        <v>710.06799999999998</v>
      </c>
      <c r="F29" s="321">
        <f t="shared" si="1"/>
        <v>2.9195523741687674E-2</v>
      </c>
    </row>
    <row r="30" spans="1:7" ht="15.75" customHeight="1" x14ac:dyDescent="0.2">
      <c r="A30" s="167" t="str">
        <f>'1.2.Coleta Resíduos Recicláveis'!A33</f>
        <v>3.2.6. Pneus</v>
      </c>
      <c r="B30" s="168"/>
      <c r="C30" s="162"/>
      <c r="D30" s="162"/>
      <c r="E30" s="163">
        <f>'1.2.Coleta Resíduos Recicláveis'!E33</f>
        <v>142.38732000000002</v>
      </c>
      <c r="F30" s="321">
        <f t="shared" si="1"/>
        <v>5.8544708134647397E-3</v>
      </c>
    </row>
    <row r="31" spans="1:7" ht="15.75" customHeight="1" x14ac:dyDescent="0.2">
      <c r="A31" s="263" t="str">
        <f>'1.3.Triagem com Transbordo'!A21</f>
        <v>3.2. Estacão de transbordo com capacidade mínima de 0,500 Toneladas dia</v>
      </c>
      <c r="B31" s="166"/>
      <c r="C31" s="157"/>
      <c r="D31" s="157"/>
      <c r="E31" s="158">
        <f>SUM(E32:E37)</f>
        <v>1117.1064514228499</v>
      </c>
      <c r="F31" s="312">
        <f t="shared" si="1"/>
        <v>4.5931527578356272E-2</v>
      </c>
    </row>
    <row r="32" spans="1:7" ht="15.75" customHeight="1" x14ac:dyDescent="0.2">
      <c r="A32" s="167" t="str">
        <f>'1.3.Triagem com Transbordo'!A22</f>
        <v>3.2.1. Depreciação</v>
      </c>
      <c r="B32" s="168"/>
      <c r="C32" s="162"/>
      <c r="D32" s="162"/>
      <c r="E32" s="163">
        <f>'1.3.Triagem com Transbordo'!E22</f>
        <v>97.049239560000018</v>
      </c>
      <c r="F32" s="321">
        <f t="shared" si="1"/>
        <v>3.9903268105121129E-3</v>
      </c>
    </row>
    <row r="33" spans="1:6" ht="15.75" customHeight="1" x14ac:dyDescent="0.2">
      <c r="A33" s="167" t="str">
        <f>'1.3.Triagem com Transbordo'!A23</f>
        <v>3.2.2. Remuneração do Capital</v>
      </c>
      <c r="B33" s="168"/>
      <c r="C33" s="162"/>
      <c r="D33" s="162"/>
      <c r="E33" s="163">
        <f>'1.3.Triagem com Transbordo'!E23</f>
        <v>113.11369536285</v>
      </c>
      <c r="F33" s="321">
        <f t="shared" si="1"/>
        <v>4.650841297560394E-3</v>
      </c>
    </row>
    <row r="34" spans="1:6" ht="15.75" customHeight="1" x14ac:dyDescent="0.2">
      <c r="A34" s="167" t="str">
        <f>'1.3.Triagem com Transbordo'!A24</f>
        <v>3.2.3. Impostos e Seguros</v>
      </c>
      <c r="B34" s="168"/>
      <c r="C34" s="162"/>
      <c r="D34" s="162"/>
      <c r="E34" s="163">
        <f>'1.3.Triagem com Transbordo'!E24</f>
        <v>26.832316499999997</v>
      </c>
      <c r="F34" s="321">
        <f t="shared" si="1"/>
        <v>1.1032514258074266E-3</v>
      </c>
    </row>
    <row r="35" spans="1:6" ht="15.75" customHeight="1" x14ac:dyDescent="0.2">
      <c r="A35" s="167" t="str">
        <f>'1.3.Triagem com Transbordo'!A25</f>
        <v>3.2.4. Consumos</v>
      </c>
      <c r="B35" s="168"/>
      <c r="C35" s="162"/>
      <c r="D35" s="162"/>
      <c r="E35" s="163">
        <f>'1.3.Triagem com Transbordo'!E25</f>
        <v>842.13919999999996</v>
      </c>
      <c r="F35" s="321">
        <f t="shared" si="1"/>
        <v>3.462583162092344E-2</v>
      </c>
    </row>
    <row r="36" spans="1:6" ht="15.75" customHeight="1" x14ac:dyDescent="0.2">
      <c r="A36" s="167" t="str">
        <f>'1.3.Triagem com Transbordo'!A26</f>
        <v>3.2.5. Manutenção</v>
      </c>
      <c r="B36" s="168"/>
      <c r="C36" s="162"/>
      <c r="D36" s="162"/>
      <c r="E36" s="163">
        <f>'1.3.Triagem com Transbordo'!E26</f>
        <v>19.52</v>
      </c>
      <c r="F36" s="321">
        <f t="shared" si="1"/>
        <v>8.0259443241737893E-4</v>
      </c>
    </row>
    <row r="37" spans="1:6" ht="15.75" customHeight="1" x14ac:dyDescent="0.2">
      <c r="A37" s="167" t="str">
        <f>'1.3.Triagem com Transbordo'!A27</f>
        <v>3.2.6. Pneus</v>
      </c>
      <c r="B37" s="168"/>
      <c r="C37" s="162"/>
      <c r="D37" s="162"/>
      <c r="E37" s="163">
        <f>'1.3.Triagem com Transbordo'!E27</f>
        <v>18.452000000000002</v>
      </c>
      <c r="F37" s="321">
        <f t="shared" si="1"/>
        <v>7.586819911355265E-4</v>
      </c>
    </row>
    <row r="38" spans="1:6" ht="15.75" customHeight="1" x14ac:dyDescent="0.2">
      <c r="A38" s="263" t="str">
        <f>'1.4.Destino final'!A25</f>
        <v xml:space="preserve">3.3. Conjunto com carreta tipo "roll on off"  e containers para destino final </v>
      </c>
      <c r="B38" s="166"/>
      <c r="C38" s="157"/>
      <c r="D38" s="157"/>
      <c r="E38" s="158">
        <f>SUM(E39:E44)</f>
        <v>3106.8322947926376</v>
      </c>
      <c r="F38" s="312">
        <f t="shared" si="1"/>
        <v>0.12774212614011679</v>
      </c>
    </row>
    <row r="39" spans="1:6" ht="15.75" customHeight="1" x14ac:dyDescent="0.2">
      <c r="A39" s="167" t="str">
        <f>'1.4.Destino final'!A26</f>
        <v>3.3.1. Depreciação</v>
      </c>
      <c r="B39" s="168"/>
      <c r="C39" s="162"/>
      <c r="D39" s="162"/>
      <c r="E39" s="163">
        <f>'1.4.Destino final'!E26</f>
        <v>179.67552067872001</v>
      </c>
      <c r="F39" s="321">
        <f t="shared" si="1"/>
        <v>7.3876317898788069E-3</v>
      </c>
    </row>
    <row r="40" spans="1:6" ht="15.75" customHeight="1" x14ac:dyDescent="0.2">
      <c r="A40" s="167" t="str">
        <f>'1.4.Destino final'!A27</f>
        <v>3.3.2. Remuneração do Capital</v>
      </c>
      <c r="B40" s="168"/>
      <c r="C40" s="162"/>
      <c r="D40" s="162"/>
      <c r="E40" s="163">
        <f>'1.4.Destino final'!E27</f>
        <v>219.42441521536682</v>
      </c>
      <c r="F40" s="321">
        <f t="shared" si="1"/>
        <v>9.0219679297281058E-3</v>
      </c>
    </row>
    <row r="41" spans="1:6" ht="15.75" customHeight="1" x14ac:dyDescent="0.2">
      <c r="A41" s="167" t="str">
        <f>'1.4.Destino final'!A28</f>
        <v>3.3.3. Impostos e Seguros</v>
      </c>
      <c r="B41" s="168"/>
      <c r="C41" s="162"/>
      <c r="D41" s="162"/>
      <c r="E41" s="163">
        <f>'1.4.Destino final'!E28</f>
        <v>62.504489333333332</v>
      </c>
      <c r="F41" s="321">
        <f t="shared" si="1"/>
        <v>2.5699669641406136E-3</v>
      </c>
    </row>
    <row r="42" spans="1:6" ht="15.75" customHeight="1" x14ac:dyDescent="0.2">
      <c r="A42" s="167" t="str">
        <f>'1.4.Destino final'!A29</f>
        <v>3.3.4. Consumos</v>
      </c>
      <c r="B42" s="168"/>
      <c r="C42" s="162"/>
      <c r="D42" s="162"/>
      <c r="E42" s="163">
        <f>'1.4.Destino final'!E29</f>
        <v>1987.1598695652176</v>
      </c>
      <c r="F42" s="321">
        <f t="shared" si="1"/>
        <v>8.1705094653498386E-2</v>
      </c>
    </row>
    <row r="43" spans="1:6" ht="15.75" customHeight="1" x14ac:dyDescent="0.2">
      <c r="A43" s="167" t="str">
        <f>'1.4.Destino final'!A30</f>
        <v>3.3.5. Manutenção</v>
      </c>
      <c r="B43" s="168"/>
      <c r="C43" s="162"/>
      <c r="D43" s="162"/>
      <c r="E43" s="163">
        <f>'1.4.Destino final'!E30</f>
        <v>317.2</v>
      </c>
      <c r="F43" s="321">
        <f t="shared" si="1"/>
        <v>1.3042159526782407E-2</v>
      </c>
    </row>
    <row r="44" spans="1:6" ht="15.75" customHeight="1" x14ac:dyDescent="0.2">
      <c r="A44" s="167" t="str">
        <f>'1.4.Destino final'!A31</f>
        <v>3.3.6. Pneus</v>
      </c>
      <c r="B44" s="168"/>
      <c r="C44" s="162"/>
      <c r="D44" s="162"/>
      <c r="E44" s="163">
        <f>'1.4.Destino final'!E31</f>
        <v>340.86799999999999</v>
      </c>
      <c r="F44" s="321">
        <f t="shared" si="1"/>
        <v>1.4015305276088479E-2</v>
      </c>
    </row>
    <row r="45" spans="1:6" ht="15.75" customHeight="1" x14ac:dyDescent="0.2">
      <c r="A45" s="313" t="str">
        <f>'1.1.Coleta Resíduos Orgânicos'!A34</f>
        <v>4. Ferramentas e Materiais de Consumo</v>
      </c>
      <c r="B45" s="314"/>
      <c r="C45" s="310"/>
      <c r="D45" s="310"/>
      <c r="E45" s="311">
        <f>'1.1.Coleta Resíduos Orgânicos'!E34+'1.2.Coleta Resíduos Recicláveis'!E34+'1.3.Triagem com Transbordo'!E28+'1.4.Destino final'!E32</f>
        <v>65.458333333333329</v>
      </c>
      <c r="F45" s="312">
        <f t="shared" si="1"/>
        <v>2.6914187442958122E-3</v>
      </c>
    </row>
    <row r="46" spans="1:6" ht="15.75" customHeight="1" x14ac:dyDescent="0.2">
      <c r="A46" s="313" t="str">
        <f>'1.1.Coleta Resíduos Orgânicos'!A35</f>
        <v>5. Monitoramento da Frota</v>
      </c>
      <c r="B46" s="314"/>
      <c r="C46" s="310"/>
      <c r="D46" s="310"/>
      <c r="E46" s="311">
        <f>'1.1.Coleta Resíduos Orgânicos'!E35+'1.2.Coleta Resíduos Recicláveis'!E35+'1.3.Triagem com Transbordo'!E29+'1.4.Destino final'!E33</f>
        <v>44.024583333333339</v>
      </c>
      <c r="F46" s="312">
        <f t="shared" si="1"/>
        <v>1.8101375754522679E-3</v>
      </c>
    </row>
    <row r="47" spans="1:6" ht="15.75" customHeight="1" x14ac:dyDescent="0.2">
      <c r="A47" s="315" t="str">
        <f>'1.4.Destino final'!A211</f>
        <v>6. Deposição no Aterro</v>
      </c>
      <c r="B47" s="316"/>
      <c r="C47" s="317"/>
      <c r="D47" s="317"/>
      <c r="E47" s="318">
        <f>'1.4.Destino final'!E34</f>
        <v>1040</v>
      </c>
      <c r="F47" s="312">
        <f t="shared" si="1"/>
        <v>4.2761178776335763E-2</v>
      </c>
    </row>
    <row r="48" spans="1:6" ht="15.75" customHeight="1" thickBot="1" x14ac:dyDescent="0.25">
      <c r="A48" s="315" t="str">
        <f>'1.4.Destino final'!A219</f>
        <v>7. Benefícios e Despesas Indiretas - BDI</v>
      </c>
      <c r="B48" s="316"/>
      <c r="C48" s="317"/>
      <c r="D48" s="317"/>
      <c r="E48" s="318">
        <f>'1.1.Coleta Resíduos Orgânicos'!E36+'1.2.Coleta Resíduos Recicláveis'!E36+'1.3.Triagem com Transbordo'!E30+'1.4.Destino final'!E35</f>
        <v>5217.264474501937</v>
      </c>
      <c r="F48" s="312">
        <f t="shared" si="1"/>
        <v>0.21451574895923345</v>
      </c>
    </row>
    <row r="49" spans="1:10" ht="33" customHeight="1" thickBot="1" x14ac:dyDescent="0.25">
      <c r="A49" s="425" t="s">
        <v>474</v>
      </c>
      <c r="B49" s="426"/>
      <c r="C49" s="426"/>
      <c r="D49" s="427"/>
      <c r="E49" s="319">
        <f>E9+E15+E16+E45+E46+E47+E48</f>
        <v>24321.12560413187</v>
      </c>
      <c r="F49" s="320">
        <f>E49/$E$49</f>
        <v>1</v>
      </c>
    </row>
    <row r="52" spans="1:10" s="145" customFormat="1" ht="12.6" customHeight="1" x14ac:dyDescent="0.2">
      <c r="A52" s="142"/>
      <c r="B52" s="142"/>
      <c r="C52" s="142"/>
      <c r="D52" s="143"/>
      <c r="E52" s="143"/>
      <c r="F52" s="143"/>
      <c r="H52" s="109"/>
      <c r="I52" s="109"/>
      <c r="J52" s="109"/>
    </row>
    <row r="53" spans="1:10" s="145" customFormat="1" ht="9.75" customHeight="1" x14ac:dyDescent="0.2">
      <c r="A53" s="144"/>
      <c r="H53" s="109"/>
      <c r="I53" s="109"/>
      <c r="J53" s="109"/>
    </row>
    <row r="54" spans="1:10" s="145" customFormat="1" ht="9.75" customHeight="1" x14ac:dyDescent="0.2">
      <c r="A54" s="144"/>
      <c r="H54" s="109"/>
      <c r="I54" s="109"/>
      <c r="J54" s="109"/>
    </row>
    <row r="55" spans="1:10" s="145" customFormat="1" ht="9.75" customHeight="1" x14ac:dyDescent="0.2">
      <c r="A55" s="144"/>
      <c r="H55" s="109"/>
      <c r="I55" s="109"/>
      <c r="J55" s="109"/>
    </row>
    <row r="85" s="109" customFormat="1" ht="9" customHeight="1" x14ac:dyDescent="0.2"/>
  </sheetData>
  <mergeCells count="9">
    <mergeCell ref="A16:C16"/>
    <mergeCell ref="A49:D49"/>
    <mergeCell ref="A7:F7"/>
    <mergeCell ref="A15:C15"/>
    <mergeCell ref="A1:F1"/>
    <mergeCell ref="A2:F2"/>
    <mergeCell ref="A3:F3"/>
    <mergeCell ref="A4:F4"/>
    <mergeCell ref="A5:F5"/>
  </mergeCells>
  <pageMargins left="0.9055118110236221" right="0.51181102362204722" top="1.5354330708661419" bottom="0.74803149606299213" header="0.31496062992125984" footer="0.31496062992125984"/>
  <pageSetup paperSize="9" scale="67" fitToHeight="0" orientation="portrait" r:id="rId1"/>
  <headerFooter alignWithMargins="0">
    <oddFooter>&amp;R&amp;P de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7" sqref="A1:B17"/>
    </sheetView>
  </sheetViews>
  <sheetFormatPr defaultColWidth="9.140625" defaultRowHeight="19.5" customHeight="1" x14ac:dyDescent="0.2"/>
  <cols>
    <col min="1" max="1" width="24.5703125" style="26" customWidth="1"/>
    <col min="2" max="2" width="20.85546875" style="26" customWidth="1"/>
    <col min="3" max="16384" width="9.140625" style="26"/>
  </cols>
  <sheetData>
    <row r="1" spans="1:2" ht="19.5" customHeight="1" thickBot="1" x14ac:dyDescent="0.25">
      <c r="A1" s="559" t="s">
        <v>214</v>
      </c>
      <c r="B1" s="560"/>
    </row>
    <row r="2" spans="1:2" s="61" customFormat="1" ht="19.5" customHeight="1" x14ac:dyDescent="0.2">
      <c r="A2" s="106" t="s">
        <v>192</v>
      </c>
      <c r="B2" s="107" t="s">
        <v>253</v>
      </c>
    </row>
    <row r="3" spans="1:2" ht="19.5" customHeight="1" x14ac:dyDescent="0.2">
      <c r="A3" s="105">
        <v>1</v>
      </c>
      <c r="B3" s="136">
        <v>33.629999999999995</v>
      </c>
    </row>
    <row r="4" spans="1:2" ht="19.5" customHeight="1" x14ac:dyDescent="0.2">
      <c r="A4" s="103">
        <v>2</v>
      </c>
      <c r="B4" s="137">
        <v>43.13</v>
      </c>
    </row>
    <row r="5" spans="1:2" ht="19.5" customHeight="1" x14ac:dyDescent="0.2">
      <c r="A5" s="103">
        <v>3</v>
      </c>
      <c r="B5" s="137">
        <v>48.68</v>
      </c>
    </row>
    <row r="6" spans="1:2" ht="19.5" customHeight="1" x14ac:dyDescent="0.2">
      <c r="A6" s="103">
        <v>4</v>
      </c>
      <c r="B6" s="137">
        <v>52.62</v>
      </c>
    </row>
    <row r="7" spans="1:2" ht="19.5" customHeight="1" x14ac:dyDescent="0.2">
      <c r="A7" s="103">
        <v>5</v>
      </c>
      <c r="B7" s="137">
        <v>55.679999999999993</v>
      </c>
    </row>
    <row r="8" spans="1:2" ht="19.5" customHeight="1" x14ac:dyDescent="0.2">
      <c r="A8" s="103">
        <v>6</v>
      </c>
      <c r="B8" s="137">
        <v>58.18</v>
      </c>
    </row>
    <row r="9" spans="1:2" ht="19.5" customHeight="1" x14ac:dyDescent="0.2">
      <c r="A9" s="103">
        <v>7</v>
      </c>
      <c r="B9" s="137">
        <v>60.29</v>
      </c>
    </row>
    <row r="10" spans="1:2" ht="19.5" customHeight="1" x14ac:dyDescent="0.2">
      <c r="A10" s="103">
        <v>8</v>
      </c>
      <c r="B10" s="137">
        <v>62.12</v>
      </c>
    </row>
    <row r="11" spans="1:2" ht="19.5" customHeight="1" x14ac:dyDescent="0.2">
      <c r="A11" s="103">
        <v>9</v>
      </c>
      <c r="B11" s="137">
        <v>63.73</v>
      </c>
    </row>
    <row r="12" spans="1:2" ht="19.5" customHeight="1" x14ac:dyDescent="0.2">
      <c r="A12" s="103">
        <v>10</v>
      </c>
      <c r="B12" s="137">
        <v>65.180000000000007</v>
      </c>
    </row>
    <row r="13" spans="1:2" ht="19.5" customHeight="1" x14ac:dyDescent="0.2">
      <c r="A13" s="103">
        <v>11</v>
      </c>
      <c r="B13" s="137">
        <v>66.47999999999999</v>
      </c>
    </row>
    <row r="14" spans="1:2" ht="19.5" customHeight="1" x14ac:dyDescent="0.2">
      <c r="A14" s="103">
        <v>12</v>
      </c>
      <c r="B14" s="137">
        <v>67.67</v>
      </c>
    </row>
    <row r="15" spans="1:2" ht="19.5" customHeight="1" x14ac:dyDescent="0.2">
      <c r="A15" s="103">
        <v>13</v>
      </c>
      <c r="B15" s="137">
        <v>68.77</v>
      </c>
    </row>
    <row r="16" spans="1:2" ht="19.5" customHeight="1" x14ac:dyDescent="0.2">
      <c r="A16" s="103">
        <v>14</v>
      </c>
      <c r="B16" s="137">
        <v>69.789999999999992</v>
      </c>
    </row>
    <row r="17" spans="1:2" ht="19.5" customHeight="1" thickBot="1" x14ac:dyDescent="0.25">
      <c r="A17" s="104">
        <v>15</v>
      </c>
      <c r="B17" s="138">
        <v>70.73</v>
      </c>
    </row>
  </sheetData>
  <mergeCells count="1">
    <mergeCell ref="A1:B1"/>
  </mergeCells>
  <pageMargins left="2.0866141732283467" right="0.51181102362204722" top="1.9291338582677167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29" sqref="F29"/>
    </sheetView>
  </sheetViews>
  <sheetFormatPr defaultColWidth="9.140625" defaultRowHeight="15.75" x14ac:dyDescent="0.25"/>
  <cols>
    <col min="1" max="1" width="8.5703125" style="27" customWidth="1"/>
    <col min="2" max="3" width="9.140625" style="27"/>
    <col min="4" max="4" width="11.28515625" style="27" customWidth="1"/>
    <col min="5" max="5" width="9.140625" style="27"/>
    <col min="6" max="6" width="2.140625" style="27" bestFit="1" customWidth="1"/>
    <col min="7" max="7" width="9.140625" style="27"/>
    <col min="8" max="8" width="10.5703125" style="27" customWidth="1"/>
    <col min="9" max="16384" width="9.140625" style="27"/>
  </cols>
  <sheetData>
    <row r="1" spans="1:8" ht="16.5" thickBot="1" x14ac:dyDescent="0.3">
      <c r="A1" s="566" t="s">
        <v>215</v>
      </c>
      <c r="B1" s="567"/>
      <c r="C1" s="567"/>
      <c r="D1" s="567"/>
      <c r="E1" s="567"/>
      <c r="F1" s="567"/>
      <c r="G1" s="567"/>
      <c r="H1" s="568"/>
    </row>
    <row r="2" spans="1:8" x14ac:dyDescent="0.25">
      <c r="A2" s="569"/>
      <c r="B2" s="570"/>
      <c r="C2" s="570"/>
      <c r="D2" s="570"/>
      <c r="E2" s="570"/>
      <c r="F2" s="570"/>
      <c r="G2" s="570"/>
      <c r="H2" s="571"/>
    </row>
    <row r="3" spans="1:8" x14ac:dyDescent="0.25">
      <c r="A3" s="572" t="s">
        <v>226</v>
      </c>
      <c r="B3" s="573"/>
      <c r="C3" s="573"/>
      <c r="D3" s="573"/>
      <c r="E3" s="573"/>
      <c r="F3" s="573"/>
      <c r="G3" s="573"/>
      <c r="H3" s="574"/>
    </row>
    <row r="4" spans="1:8" x14ac:dyDescent="0.25">
      <c r="A4" s="28"/>
      <c r="B4" s="29"/>
      <c r="C4" s="29"/>
      <c r="D4" s="29"/>
      <c r="E4" s="29"/>
      <c r="F4" s="29"/>
      <c r="G4" s="29"/>
      <c r="H4" s="67"/>
    </row>
    <row r="5" spans="1:8" ht="19.5" x14ac:dyDescent="0.35">
      <c r="A5" s="28"/>
      <c r="B5" s="29"/>
      <c r="C5" s="110" t="s">
        <v>267</v>
      </c>
      <c r="D5" s="111" t="s">
        <v>274</v>
      </c>
      <c r="E5" s="29"/>
      <c r="F5" s="29"/>
      <c r="G5" s="29"/>
      <c r="H5" s="67"/>
    </row>
    <row r="6" spans="1:8" x14ac:dyDescent="0.25">
      <c r="A6" s="28"/>
      <c r="B6" s="29"/>
      <c r="C6" s="112"/>
      <c r="D6" s="108">
        <v>12</v>
      </c>
      <c r="E6" s="29"/>
      <c r="F6" s="29"/>
      <c r="G6" s="29"/>
      <c r="H6" s="67"/>
    </row>
    <row r="7" spans="1:8" ht="18.75" x14ac:dyDescent="0.35">
      <c r="A7" s="28"/>
      <c r="B7" s="29"/>
      <c r="C7" s="113" t="s">
        <v>271</v>
      </c>
      <c r="D7" s="564" t="s">
        <v>272</v>
      </c>
      <c r="E7" s="114" t="s">
        <v>268</v>
      </c>
      <c r="F7" s="564" t="s">
        <v>270</v>
      </c>
      <c r="G7" s="565" t="s">
        <v>273</v>
      </c>
      <c r="H7" s="67"/>
    </row>
    <row r="8" spans="1:8" x14ac:dyDescent="0.25">
      <c r="A8" s="28"/>
      <c r="B8" s="29"/>
      <c r="C8" s="29"/>
      <c r="D8" s="564"/>
      <c r="E8" s="108" t="s">
        <v>269</v>
      </c>
      <c r="F8" s="564"/>
      <c r="G8" s="565"/>
      <c r="H8" s="67"/>
    </row>
    <row r="9" spans="1:8" x14ac:dyDescent="0.25">
      <c r="A9" s="28"/>
      <c r="B9" s="29"/>
      <c r="C9" s="29"/>
      <c r="D9" s="29"/>
      <c r="E9" s="29"/>
      <c r="F9" s="29"/>
      <c r="G9" s="29"/>
      <c r="H9" s="67"/>
    </row>
    <row r="10" spans="1:8" x14ac:dyDescent="0.25">
      <c r="A10" s="28"/>
      <c r="B10" s="29"/>
      <c r="C10" s="29"/>
      <c r="D10" s="29"/>
      <c r="E10" s="29"/>
      <c r="F10" s="29"/>
      <c r="G10" s="29"/>
      <c r="H10" s="67"/>
    </row>
    <row r="11" spans="1:8" x14ac:dyDescent="0.25">
      <c r="A11" s="28"/>
      <c r="B11" s="29"/>
      <c r="C11" s="29"/>
      <c r="D11" s="29"/>
      <c r="E11" s="29"/>
      <c r="F11" s="29"/>
      <c r="G11" s="29"/>
      <c r="H11" s="67"/>
    </row>
    <row r="12" spans="1:8" ht="18.75" x14ac:dyDescent="0.35">
      <c r="A12" s="561" t="s">
        <v>275</v>
      </c>
      <c r="B12" s="562"/>
      <c r="C12" s="562"/>
      <c r="D12" s="562"/>
      <c r="E12" s="562"/>
      <c r="F12" s="562"/>
      <c r="G12" s="562"/>
      <c r="H12" s="563"/>
    </row>
    <row r="13" spans="1:8" x14ac:dyDescent="0.25">
      <c r="A13" s="561" t="s">
        <v>276</v>
      </c>
      <c r="B13" s="562"/>
      <c r="C13" s="562"/>
      <c r="D13" s="562"/>
      <c r="E13" s="562"/>
      <c r="F13" s="562"/>
      <c r="G13" s="562"/>
      <c r="H13" s="563"/>
    </row>
    <row r="14" spans="1:8" ht="18.75" x14ac:dyDescent="0.35">
      <c r="A14" s="561" t="s">
        <v>277</v>
      </c>
      <c r="B14" s="562"/>
      <c r="C14" s="562"/>
      <c r="D14" s="562"/>
      <c r="E14" s="562"/>
      <c r="F14" s="562"/>
      <c r="G14" s="562"/>
      <c r="H14" s="563"/>
    </row>
    <row r="15" spans="1:8" ht="18.75" x14ac:dyDescent="0.35">
      <c r="A15" s="561" t="s">
        <v>278</v>
      </c>
      <c r="B15" s="562"/>
      <c r="C15" s="562"/>
      <c r="D15" s="562"/>
      <c r="E15" s="562"/>
      <c r="F15" s="562"/>
      <c r="G15" s="562"/>
      <c r="H15" s="563"/>
    </row>
    <row r="16" spans="1:8" ht="18.75" x14ac:dyDescent="0.35">
      <c r="A16" s="561" t="s">
        <v>279</v>
      </c>
      <c r="B16" s="562"/>
      <c r="C16" s="562"/>
      <c r="D16" s="562"/>
      <c r="E16" s="562"/>
      <c r="F16" s="562"/>
      <c r="G16" s="562"/>
      <c r="H16" s="563"/>
    </row>
    <row r="17" spans="1:8" x14ac:dyDescent="0.25">
      <c r="A17" s="561" t="s">
        <v>280</v>
      </c>
      <c r="B17" s="562"/>
      <c r="C17" s="562"/>
      <c r="D17" s="562"/>
      <c r="E17" s="562"/>
      <c r="F17" s="562"/>
      <c r="G17" s="562"/>
      <c r="H17" s="563"/>
    </row>
    <row r="18" spans="1:8" ht="16.5" thickBot="1" x14ac:dyDescent="0.3">
      <c r="A18" s="115"/>
      <c r="B18" s="116"/>
      <c r="C18" s="116"/>
      <c r="D18" s="116"/>
      <c r="E18" s="116"/>
      <c r="F18" s="116"/>
      <c r="G18" s="116"/>
      <c r="H18" s="117"/>
    </row>
  </sheetData>
  <mergeCells count="12">
    <mergeCell ref="A17:H17"/>
    <mergeCell ref="D7:D8"/>
    <mergeCell ref="F7:F8"/>
    <mergeCell ref="G7:G8"/>
    <mergeCell ref="A1:H1"/>
    <mergeCell ref="A2:H2"/>
    <mergeCell ref="A3:H3"/>
    <mergeCell ref="A12:H12"/>
    <mergeCell ref="A13:H13"/>
    <mergeCell ref="A14:H14"/>
    <mergeCell ref="A15:H15"/>
    <mergeCell ref="A16:H16"/>
  </mergeCells>
  <pageMargins left="1.6929133858267718" right="0.51181102362204722" top="1.5354330708661419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view="pageBreakPreview" topLeftCell="A6" zoomScaleNormal="110" zoomScaleSheetLayoutView="100" workbookViewId="0">
      <selection activeCell="A31" sqref="A31"/>
    </sheetView>
  </sheetViews>
  <sheetFormatPr defaultColWidth="9.140625" defaultRowHeight="15.75" x14ac:dyDescent="0.25"/>
  <cols>
    <col min="1" max="1" width="58.28515625" style="27" customWidth="1"/>
    <col min="2" max="2" width="11.140625" style="27" bestFit="1" customWidth="1"/>
    <col min="3" max="3" width="11.28515625" style="27" bestFit="1" customWidth="1"/>
    <col min="4" max="16384" width="9.140625" style="27"/>
  </cols>
  <sheetData>
    <row r="1" spans="1:3" hidden="1" x14ac:dyDescent="0.25">
      <c r="A1" s="118"/>
    </row>
    <row r="2" spans="1:3" hidden="1" x14ac:dyDescent="0.25">
      <c r="A2" s="119"/>
    </row>
    <row r="3" spans="1:3" hidden="1" x14ac:dyDescent="0.25">
      <c r="A3" s="119"/>
    </row>
    <row r="4" spans="1:3" hidden="1" x14ac:dyDescent="0.25">
      <c r="A4" s="109"/>
    </row>
    <row r="5" spans="1:3" ht="16.5" hidden="1" thickBot="1" x14ac:dyDescent="0.3"/>
    <row r="6" spans="1:3" ht="16.5" thickBot="1" x14ac:dyDescent="0.3">
      <c r="A6" s="559" t="s">
        <v>250</v>
      </c>
      <c r="B6" s="575"/>
      <c r="C6" s="560"/>
    </row>
    <row r="7" spans="1:3" s="120" customFormat="1" x14ac:dyDescent="0.25">
      <c r="A7" s="139"/>
      <c r="B7" s="140"/>
      <c r="C7" s="141"/>
    </row>
    <row r="8" spans="1:3" s="72" customFormat="1" x14ac:dyDescent="0.25">
      <c r="A8" s="133" t="s">
        <v>251</v>
      </c>
      <c r="B8" s="134" t="s">
        <v>281</v>
      </c>
      <c r="C8" s="135" t="s">
        <v>134</v>
      </c>
    </row>
    <row r="9" spans="1:3" x14ac:dyDescent="0.25">
      <c r="A9" s="122" t="s">
        <v>239</v>
      </c>
      <c r="B9" s="123" t="s">
        <v>232</v>
      </c>
      <c r="C9" s="126">
        <v>1917</v>
      </c>
    </row>
    <row r="10" spans="1:3" x14ac:dyDescent="0.25">
      <c r="A10" s="41" t="s">
        <v>240</v>
      </c>
      <c r="B10" s="43" t="s">
        <v>237</v>
      </c>
      <c r="C10" s="121">
        <v>0.1739</v>
      </c>
    </row>
    <row r="11" spans="1:3" x14ac:dyDescent="0.25">
      <c r="A11" s="41" t="s">
        <v>241</v>
      </c>
      <c r="B11" s="43" t="s">
        <v>238</v>
      </c>
      <c r="C11" s="127">
        <f>C9*C10/1000</f>
        <v>0.3333663</v>
      </c>
    </row>
    <row r="12" spans="1:3" x14ac:dyDescent="0.25">
      <c r="A12" s="41" t="s">
        <v>247</v>
      </c>
      <c r="B12" s="43" t="s">
        <v>233</v>
      </c>
      <c r="C12" s="128">
        <f>(C11*30)</f>
        <v>10.000989000000001</v>
      </c>
    </row>
    <row r="13" spans="1:3" x14ac:dyDescent="0.25">
      <c r="A13" s="41" t="s">
        <v>243</v>
      </c>
      <c r="B13" s="43" t="s">
        <v>86</v>
      </c>
      <c r="C13" s="129">
        <v>2</v>
      </c>
    </row>
    <row r="14" spans="1:3" x14ac:dyDescent="0.25">
      <c r="A14" s="41" t="s">
        <v>242</v>
      </c>
      <c r="B14" s="43" t="s">
        <v>238</v>
      </c>
      <c r="C14" s="127">
        <f>IFERROR(C11*7/C13,0)</f>
        <v>1.1667820500000001</v>
      </c>
    </row>
    <row r="15" spans="1:3" x14ac:dyDescent="0.25">
      <c r="A15" s="122" t="s">
        <v>234</v>
      </c>
      <c r="B15" s="43" t="s">
        <v>235</v>
      </c>
      <c r="C15" s="128">
        <v>500</v>
      </c>
    </row>
    <row r="16" spans="1:3" x14ac:dyDescent="0.25">
      <c r="A16" s="41" t="s">
        <v>248</v>
      </c>
      <c r="B16" s="43"/>
      <c r="C16" s="131">
        <v>1</v>
      </c>
    </row>
    <row r="17" spans="1:3" x14ac:dyDescent="0.25">
      <c r="A17" s="122" t="s">
        <v>249</v>
      </c>
      <c r="B17" s="43" t="s">
        <v>236</v>
      </c>
      <c r="C17" s="132">
        <v>12</v>
      </c>
    </row>
    <row r="18" spans="1:3" x14ac:dyDescent="0.25">
      <c r="A18" s="41" t="s">
        <v>244</v>
      </c>
      <c r="B18" s="43" t="s">
        <v>233</v>
      </c>
      <c r="C18" s="128">
        <f>IF(AND(C17&gt;=15,C16=1),5.8,C17/2)</f>
        <v>6</v>
      </c>
    </row>
    <row r="19" spans="1:3" x14ac:dyDescent="0.25">
      <c r="A19" s="122" t="s">
        <v>245</v>
      </c>
      <c r="B19" s="43"/>
      <c r="C19" s="127">
        <f>IFERROR(C14/C18,0)</f>
        <v>0.19446367500000003</v>
      </c>
    </row>
    <row r="20" spans="1:3" x14ac:dyDescent="0.25">
      <c r="A20" s="122" t="s">
        <v>252</v>
      </c>
      <c r="B20" s="43"/>
      <c r="C20" s="130">
        <v>1</v>
      </c>
    </row>
    <row r="21" spans="1:3" ht="16.5" thickBot="1" x14ac:dyDescent="0.3">
      <c r="A21" s="124" t="s">
        <v>246</v>
      </c>
      <c r="B21" s="125"/>
      <c r="C21" s="270">
        <v>1</v>
      </c>
    </row>
  </sheetData>
  <mergeCells count="1">
    <mergeCell ref="A6:C6"/>
  </mergeCells>
  <pageMargins left="1.299212598425197" right="0.51181102362204722" top="1.9685039370078741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view="pageBreakPreview" zoomScaleNormal="100" zoomScaleSheetLayoutView="100" workbookViewId="0">
      <selection activeCell="B36" sqref="B36"/>
    </sheetView>
  </sheetViews>
  <sheetFormatPr defaultRowHeight="12.75" x14ac:dyDescent="0.2"/>
  <cols>
    <col min="1" max="1" width="10.7109375" style="374" customWidth="1"/>
    <col min="2" max="2" width="63" style="367" customWidth="1"/>
    <col min="3" max="3" width="15.28515625" style="375" customWidth="1"/>
    <col min="4" max="4" width="8.28515625" style="367" customWidth="1"/>
    <col min="5" max="16" width="13.140625" style="367" bestFit="1" customWidth="1"/>
    <col min="17" max="255" width="9.140625" style="367"/>
    <col min="256" max="256" width="10.7109375" style="367" customWidth="1"/>
    <col min="257" max="257" width="63" style="367" customWidth="1"/>
    <col min="258" max="258" width="12.140625" style="367" customWidth="1"/>
    <col min="259" max="259" width="20" style="367" customWidth="1"/>
    <col min="260" max="260" width="10.85546875" style="367" customWidth="1"/>
    <col min="261" max="261" width="15.28515625" style="367" customWidth="1"/>
    <col min="262" max="264" width="13.85546875" style="367" customWidth="1"/>
    <col min="265" max="265" width="10.28515625" style="367" bestFit="1" customWidth="1"/>
    <col min="266" max="511" width="9.140625" style="367"/>
    <col min="512" max="512" width="10.7109375" style="367" customWidth="1"/>
    <col min="513" max="513" width="63" style="367" customWidth="1"/>
    <col min="514" max="514" width="12.140625" style="367" customWidth="1"/>
    <col min="515" max="515" width="20" style="367" customWidth="1"/>
    <col min="516" max="516" width="10.85546875" style="367" customWidth="1"/>
    <col min="517" max="517" width="15.28515625" style="367" customWidth="1"/>
    <col min="518" max="520" width="13.85546875" style="367" customWidth="1"/>
    <col min="521" max="521" width="10.28515625" style="367" bestFit="1" customWidth="1"/>
    <col min="522" max="767" width="9.140625" style="367"/>
    <col min="768" max="768" width="10.7109375" style="367" customWidth="1"/>
    <col min="769" max="769" width="63" style="367" customWidth="1"/>
    <col min="770" max="770" width="12.140625" style="367" customWidth="1"/>
    <col min="771" max="771" width="20" style="367" customWidth="1"/>
    <col min="772" max="772" width="10.85546875" style="367" customWidth="1"/>
    <col min="773" max="773" width="15.28515625" style="367" customWidth="1"/>
    <col min="774" max="776" width="13.85546875" style="367" customWidth="1"/>
    <col min="777" max="777" width="10.28515625" style="367" bestFit="1" customWidth="1"/>
    <col min="778" max="1023" width="9.140625" style="367"/>
    <col min="1024" max="1024" width="10.7109375" style="367" customWidth="1"/>
    <col min="1025" max="1025" width="63" style="367" customWidth="1"/>
    <col min="1026" max="1026" width="12.140625" style="367" customWidth="1"/>
    <col min="1027" max="1027" width="20" style="367" customWidth="1"/>
    <col min="1028" max="1028" width="10.85546875" style="367" customWidth="1"/>
    <col min="1029" max="1029" width="15.28515625" style="367" customWidth="1"/>
    <col min="1030" max="1032" width="13.85546875" style="367" customWidth="1"/>
    <col min="1033" max="1033" width="10.28515625" style="367" bestFit="1" customWidth="1"/>
    <col min="1034" max="1279" width="9.140625" style="367"/>
    <col min="1280" max="1280" width="10.7109375" style="367" customWidth="1"/>
    <col min="1281" max="1281" width="63" style="367" customWidth="1"/>
    <col min="1282" max="1282" width="12.140625" style="367" customWidth="1"/>
    <col min="1283" max="1283" width="20" style="367" customWidth="1"/>
    <col min="1284" max="1284" width="10.85546875" style="367" customWidth="1"/>
    <col min="1285" max="1285" width="15.28515625" style="367" customWidth="1"/>
    <col min="1286" max="1288" width="13.85546875" style="367" customWidth="1"/>
    <col min="1289" max="1289" width="10.28515625" style="367" bestFit="1" customWidth="1"/>
    <col min="1290" max="1535" width="9.140625" style="367"/>
    <col min="1536" max="1536" width="10.7109375" style="367" customWidth="1"/>
    <col min="1537" max="1537" width="63" style="367" customWidth="1"/>
    <col min="1538" max="1538" width="12.140625" style="367" customWidth="1"/>
    <col min="1539" max="1539" width="20" style="367" customWidth="1"/>
    <col min="1540" max="1540" width="10.85546875" style="367" customWidth="1"/>
    <col min="1541" max="1541" width="15.28515625" style="367" customWidth="1"/>
    <col min="1542" max="1544" width="13.85546875" style="367" customWidth="1"/>
    <col min="1545" max="1545" width="10.28515625" style="367" bestFit="1" customWidth="1"/>
    <col min="1546" max="1791" width="9.140625" style="367"/>
    <col min="1792" max="1792" width="10.7109375" style="367" customWidth="1"/>
    <col min="1793" max="1793" width="63" style="367" customWidth="1"/>
    <col min="1794" max="1794" width="12.140625" style="367" customWidth="1"/>
    <col min="1795" max="1795" width="20" style="367" customWidth="1"/>
    <col min="1796" max="1796" width="10.85546875" style="367" customWidth="1"/>
    <col min="1797" max="1797" width="15.28515625" style="367" customWidth="1"/>
    <col min="1798" max="1800" width="13.85546875" style="367" customWidth="1"/>
    <col min="1801" max="1801" width="10.28515625" style="367" bestFit="1" customWidth="1"/>
    <col min="1802" max="2047" width="9.140625" style="367"/>
    <col min="2048" max="2048" width="10.7109375" style="367" customWidth="1"/>
    <col min="2049" max="2049" width="63" style="367" customWidth="1"/>
    <col min="2050" max="2050" width="12.140625" style="367" customWidth="1"/>
    <col min="2051" max="2051" width="20" style="367" customWidth="1"/>
    <col min="2052" max="2052" width="10.85546875" style="367" customWidth="1"/>
    <col min="2053" max="2053" width="15.28515625" style="367" customWidth="1"/>
    <col min="2054" max="2056" width="13.85546875" style="367" customWidth="1"/>
    <col min="2057" max="2057" width="10.28515625" style="367" bestFit="1" customWidth="1"/>
    <col min="2058" max="2303" width="9.140625" style="367"/>
    <col min="2304" max="2304" width="10.7109375" style="367" customWidth="1"/>
    <col min="2305" max="2305" width="63" style="367" customWidth="1"/>
    <col min="2306" max="2306" width="12.140625" style="367" customWidth="1"/>
    <col min="2307" max="2307" width="20" style="367" customWidth="1"/>
    <col min="2308" max="2308" width="10.85546875" style="367" customWidth="1"/>
    <col min="2309" max="2309" width="15.28515625" style="367" customWidth="1"/>
    <col min="2310" max="2312" width="13.85546875" style="367" customWidth="1"/>
    <col min="2313" max="2313" width="10.28515625" style="367" bestFit="1" customWidth="1"/>
    <col min="2314" max="2559" width="9.140625" style="367"/>
    <col min="2560" max="2560" width="10.7109375" style="367" customWidth="1"/>
    <col min="2561" max="2561" width="63" style="367" customWidth="1"/>
    <col min="2562" max="2562" width="12.140625" style="367" customWidth="1"/>
    <col min="2563" max="2563" width="20" style="367" customWidth="1"/>
    <col min="2564" max="2564" width="10.85546875" style="367" customWidth="1"/>
    <col min="2565" max="2565" width="15.28515625" style="367" customWidth="1"/>
    <col min="2566" max="2568" width="13.85546875" style="367" customWidth="1"/>
    <col min="2569" max="2569" width="10.28515625" style="367" bestFit="1" customWidth="1"/>
    <col min="2570" max="2815" width="9.140625" style="367"/>
    <col min="2816" max="2816" width="10.7109375" style="367" customWidth="1"/>
    <col min="2817" max="2817" width="63" style="367" customWidth="1"/>
    <col min="2818" max="2818" width="12.140625" style="367" customWidth="1"/>
    <col min="2819" max="2819" width="20" style="367" customWidth="1"/>
    <col min="2820" max="2820" width="10.85546875" style="367" customWidth="1"/>
    <col min="2821" max="2821" width="15.28515625" style="367" customWidth="1"/>
    <col min="2822" max="2824" width="13.85546875" style="367" customWidth="1"/>
    <col min="2825" max="2825" width="10.28515625" style="367" bestFit="1" customWidth="1"/>
    <col min="2826" max="3071" width="9.140625" style="367"/>
    <col min="3072" max="3072" width="10.7109375" style="367" customWidth="1"/>
    <col min="3073" max="3073" width="63" style="367" customWidth="1"/>
    <col min="3074" max="3074" width="12.140625" style="367" customWidth="1"/>
    <col min="3075" max="3075" width="20" style="367" customWidth="1"/>
    <col min="3076" max="3076" width="10.85546875" style="367" customWidth="1"/>
    <col min="3077" max="3077" width="15.28515625" style="367" customWidth="1"/>
    <col min="3078" max="3080" width="13.85546875" style="367" customWidth="1"/>
    <col min="3081" max="3081" width="10.28515625" style="367" bestFit="1" customWidth="1"/>
    <col min="3082" max="3327" width="9.140625" style="367"/>
    <col min="3328" max="3328" width="10.7109375" style="367" customWidth="1"/>
    <col min="3329" max="3329" width="63" style="367" customWidth="1"/>
    <col min="3330" max="3330" width="12.140625" style="367" customWidth="1"/>
    <col min="3331" max="3331" width="20" style="367" customWidth="1"/>
    <col min="3332" max="3332" width="10.85546875" style="367" customWidth="1"/>
    <col min="3333" max="3333" width="15.28515625" style="367" customWidth="1"/>
    <col min="3334" max="3336" width="13.85546875" style="367" customWidth="1"/>
    <col min="3337" max="3337" width="10.28515625" style="367" bestFit="1" customWidth="1"/>
    <col min="3338" max="3583" width="9.140625" style="367"/>
    <col min="3584" max="3584" width="10.7109375" style="367" customWidth="1"/>
    <col min="3585" max="3585" width="63" style="367" customWidth="1"/>
    <col min="3586" max="3586" width="12.140625" style="367" customWidth="1"/>
    <col min="3587" max="3587" width="20" style="367" customWidth="1"/>
    <col min="3588" max="3588" width="10.85546875" style="367" customWidth="1"/>
    <col min="3589" max="3589" width="15.28515625" style="367" customWidth="1"/>
    <col min="3590" max="3592" width="13.85546875" style="367" customWidth="1"/>
    <col min="3593" max="3593" width="10.28515625" style="367" bestFit="1" customWidth="1"/>
    <col min="3594" max="3839" width="9.140625" style="367"/>
    <col min="3840" max="3840" width="10.7109375" style="367" customWidth="1"/>
    <col min="3841" max="3841" width="63" style="367" customWidth="1"/>
    <col min="3842" max="3842" width="12.140625" style="367" customWidth="1"/>
    <col min="3843" max="3843" width="20" style="367" customWidth="1"/>
    <col min="3844" max="3844" width="10.85546875" style="367" customWidth="1"/>
    <col min="3845" max="3845" width="15.28515625" style="367" customWidth="1"/>
    <col min="3846" max="3848" width="13.85546875" style="367" customWidth="1"/>
    <col min="3849" max="3849" width="10.28515625" style="367" bestFit="1" customWidth="1"/>
    <col min="3850" max="4095" width="9.140625" style="367"/>
    <col min="4096" max="4096" width="10.7109375" style="367" customWidth="1"/>
    <col min="4097" max="4097" width="63" style="367" customWidth="1"/>
    <col min="4098" max="4098" width="12.140625" style="367" customWidth="1"/>
    <col min="4099" max="4099" width="20" style="367" customWidth="1"/>
    <col min="4100" max="4100" width="10.85546875" style="367" customWidth="1"/>
    <col min="4101" max="4101" width="15.28515625" style="367" customWidth="1"/>
    <col min="4102" max="4104" width="13.85546875" style="367" customWidth="1"/>
    <col min="4105" max="4105" width="10.28515625" style="367" bestFit="1" customWidth="1"/>
    <col min="4106" max="4351" width="9.140625" style="367"/>
    <col min="4352" max="4352" width="10.7109375" style="367" customWidth="1"/>
    <col min="4353" max="4353" width="63" style="367" customWidth="1"/>
    <col min="4354" max="4354" width="12.140625" style="367" customWidth="1"/>
    <col min="4355" max="4355" width="20" style="367" customWidth="1"/>
    <col min="4356" max="4356" width="10.85546875" style="367" customWidth="1"/>
    <col min="4357" max="4357" width="15.28515625" style="367" customWidth="1"/>
    <col min="4358" max="4360" width="13.85546875" style="367" customWidth="1"/>
    <col min="4361" max="4361" width="10.28515625" style="367" bestFit="1" customWidth="1"/>
    <col min="4362" max="4607" width="9.140625" style="367"/>
    <col min="4608" max="4608" width="10.7109375" style="367" customWidth="1"/>
    <col min="4609" max="4609" width="63" style="367" customWidth="1"/>
    <col min="4610" max="4610" width="12.140625" style="367" customWidth="1"/>
    <col min="4611" max="4611" width="20" style="367" customWidth="1"/>
    <col min="4612" max="4612" width="10.85546875" style="367" customWidth="1"/>
    <col min="4613" max="4613" width="15.28515625" style="367" customWidth="1"/>
    <col min="4614" max="4616" width="13.85546875" style="367" customWidth="1"/>
    <col min="4617" max="4617" width="10.28515625" style="367" bestFit="1" customWidth="1"/>
    <col min="4618" max="4863" width="9.140625" style="367"/>
    <col min="4864" max="4864" width="10.7109375" style="367" customWidth="1"/>
    <col min="4865" max="4865" width="63" style="367" customWidth="1"/>
    <col min="4866" max="4866" width="12.140625" style="367" customWidth="1"/>
    <col min="4867" max="4867" width="20" style="367" customWidth="1"/>
    <col min="4868" max="4868" width="10.85546875" style="367" customWidth="1"/>
    <col min="4869" max="4869" width="15.28515625" style="367" customWidth="1"/>
    <col min="4870" max="4872" width="13.85546875" style="367" customWidth="1"/>
    <col min="4873" max="4873" width="10.28515625" style="367" bestFit="1" customWidth="1"/>
    <col min="4874" max="5119" width="9.140625" style="367"/>
    <col min="5120" max="5120" width="10.7109375" style="367" customWidth="1"/>
    <col min="5121" max="5121" width="63" style="367" customWidth="1"/>
    <col min="5122" max="5122" width="12.140625" style="367" customWidth="1"/>
    <col min="5123" max="5123" width="20" style="367" customWidth="1"/>
    <col min="5124" max="5124" width="10.85546875" style="367" customWidth="1"/>
    <col min="5125" max="5125" width="15.28515625" style="367" customWidth="1"/>
    <col min="5126" max="5128" width="13.85546875" style="367" customWidth="1"/>
    <col min="5129" max="5129" width="10.28515625" style="367" bestFit="1" customWidth="1"/>
    <col min="5130" max="5375" width="9.140625" style="367"/>
    <col min="5376" max="5376" width="10.7109375" style="367" customWidth="1"/>
    <col min="5377" max="5377" width="63" style="367" customWidth="1"/>
    <col min="5378" max="5378" width="12.140625" style="367" customWidth="1"/>
    <col min="5379" max="5379" width="20" style="367" customWidth="1"/>
    <col min="5380" max="5380" width="10.85546875" style="367" customWidth="1"/>
    <col min="5381" max="5381" width="15.28515625" style="367" customWidth="1"/>
    <col min="5382" max="5384" width="13.85546875" style="367" customWidth="1"/>
    <col min="5385" max="5385" width="10.28515625" style="367" bestFit="1" customWidth="1"/>
    <col min="5386" max="5631" width="9.140625" style="367"/>
    <col min="5632" max="5632" width="10.7109375" style="367" customWidth="1"/>
    <col min="5633" max="5633" width="63" style="367" customWidth="1"/>
    <col min="5634" max="5634" width="12.140625" style="367" customWidth="1"/>
    <col min="5635" max="5635" width="20" style="367" customWidth="1"/>
    <col min="5636" max="5636" width="10.85546875" style="367" customWidth="1"/>
    <col min="5637" max="5637" width="15.28515625" style="367" customWidth="1"/>
    <col min="5638" max="5640" width="13.85546875" style="367" customWidth="1"/>
    <col min="5641" max="5641" width="10.28515625" style="367" bestFit="1" customWidth="1"/>
    <col min="5642" max="5887" width="9.140625" style="367"/>
    <col min="5888" max="5888" width="10.7109375" style="367" customWidth="1"/>
    <col min="5889" max="5889" width="63" style="367" customWidth="1"/>
    <col min="5890" max="5890" width="12.140625" style="367" customWidth="1"/>
    <col min="5891" max="5891" width="20" style="367" customWidth="1"/>
    <col min="5892" max="5892" width="10.85546875" style="367" customWidth="1"/>
    <col min="5893" max="5893" width="15.28515625" style="367" customWidth="1"/>
    <col min="5894" max="5896" width="13.85546875" style="367" customWidth="1"/>
    <col min="5897" max="5897" width="10.28515625" style="367" bestFit="1" customWidth="1"/>
    <col min="5898" max="6143" width="9.140625" style="367"/>
    <col min="6144" max="6144" width="10.7109375" style="367" customWidth="1"/>
    <col min="6145" max="6145" width="63" style="367" customWidth="1"/>
    <col min="6146" max="6146" width="12.140625" style="367" customWidth="1"/>
    <col min="6147" max="6147" width="20" style="367" customWidth="1"/>
    <col min="6148" max="6148" width="10.85546875" style="367" customWidth="1"/>
    <col min="6149" max="6149" width="15.28515625" style="367" customWidth="1"/>
    <col min="6150" max="6152" width="13.85546875" style="367" customWidth="1"/>
    <col min="6153" max="6153" width="10.28515625" style="367" bestFit="1" customWidth="1"/>
    <col min="6154" max="6399" width="9.140625" style="367"/>
    <col min="6400" max="6400" width="10.7109375" style="367" customWidth="1"/>
    <col min="6401" max="6401" width="63" style="367" customWidth="1"/>
    <col min="6402" max="6402" width="12.140625" style="367" customWidth="1"/>
    <col min="6403" max="6403" width="20" style="367" customWidth="1"/>
    <col min="6404" max="6404" width="10.85546875" style="367" customWidth="1"/>
    <col min="6405" max="6405" width="15.28515625" style="367" customWidth="1"/>
    <col min="6406" max="6408" width="13.85546875" style="367" customWidth="1"/>
    <col min="6409" max="6409" width="10.28515625" style="367" bestFit="1" customWidth="1"/>
    <col min="6410" max="6655" width="9.140625" style="367"/>
    <col min="6656" max="6656" width="10.7109375" style="367" customWidth="1"/>
    <col min="6657" max="6657" width="63" style="367" customWidth="1"/>
    <col min="6658" max="6658" width="12.140625" style="367" customWidth="1"/>
    <col min="6659" max="6659" width="20" style="367" customWidth="1"/>
    <col min="6660" max="6660" width="10.85546875" style="367" customWidth="1"/>
    <col min="6661" max="6661" width="15.28515625" style="367" customWidth="1"/>
    <col min="6662" max="6664" width="13.85546875" style="367" customWidth="1"/>
    <col min="6665" max="6665" width="10.28515625" style="367" bestFit="1" customWidth="1"/>
    <col min="6666" max="6911" width="9.140625" style="367"/>
    <col min="6912" max="6912" width="10.7109375" style="367" customWidth="1"/>
    <col min="6913" max="6913" width="63" style="367" customWidth="1"/>
    <col min="6914" max="6914" width="12.140625" style="367" customWidth="1"/>
    <col min="6915" max="6915" width="20" style="367" customWidth="1"/>
    <col min="6916" max="6916" width="10.85546875" style="367" customWidth="1"/>
    <col min="6917" max="6917" width="15.28515625" style="367" customWidth="1"/>
    <col min="6918" max="6920" width="13.85546875" style="367" customWidth="1"/>
    <col min="6921" max="6921" width="10.28515625" style="367" bestFit="1" customWidth="1"/>
    <col min="6922" max="7167" width="9.140625" style="367"/>
    <col min="7168" max="7168" width="10.7109375" style="367" customWidth="1"/>
    <col min="7169" max="7169" width="63" style="367" customWidth="1"/>
    <col min="7170" max="7170" width="12.140625" style="367" customWidth="1"/>
    <col min="7171" max="7171" width="20" style="367" customWidth="1"/>
    <col min="7172" max="7172" width="10.85546875" style="367" customWidth="1"/>
    <col min="7173" max="7173" width="15.28515625" style="367" customWidth="1"/>
    <col min="7174" max="7176" width="13.85546875" style="367" customWidth="1"/>
    <col min="7177" max="7177" width="10.28515625" style="367" bestFit="1" customWidth="1"/>
    <col min="7178" max="7423" width="9.140625" style="367"/>
    <col min="7424" max="7424" width="10.7109375" style="367" customWidth="1"/>
    <col min="7425" max="7425" width="63" style="367" customWidth="1"/>
    <col min="7426" max="7426" width="12.140625" style="367" customWidth="1"/>
    <col min="7427" max="7427" width="20" style="367" customWidth="1"/>
    <col min="7428" max="7428" width="10.85546875" style="367" customWidth="1"/>
    <col min="7429" max="7429" width="15.28515625" style="367" customWidth="1"/>
    <col min="7430" max="7432" width="13.85546875" style="367" customWidth="1"/>
    <col min="7433" max="7433" width="10.28515625" style="367" bestFit="1" customWidth="1"/>
    <col min="7434" max="7679" width="9.140625" style="367"/>
    <col min="7680" max="7680" width="10.7109375" style="367" customWidth="1"/>
    <col min="7681" max="7681" width="63" style="367" customWidth="1"/>
    <col min="7682" max="7682" width="12.140625" style="367" customWidth="1"/>
    <col min="7683" max="7683" width="20" style="367" customWidth="1"/>
    <col min="7684" max="7684" width="10.85546875" style="367" customWidth="1"/>
    <col min="7685" max="7685" width="15.28515625" style="367" customWidth="1"/>
    <col min="7686" max="7688" width="13.85546875" style="367" customWidth="1"/>
    <col min="7689" max="7689" width="10.28515625" style="367" bestFit="1" customWidth="1"/>
    <col min="7690" max="7935" width="9.140625" style="367"/>
    <col min="7936" max="7936" width="10.7109375" style="367" customWidth="1"/>
    <col min="7937" max="7937" width="63" style="367" customWidth="1"/>
    <col min="7938" max="7938" width="12.140625" style="367" customWidth="1"/>
    <col min="7939" max="7939" width="20" style="367" customWidth="1"/>
    <col min="7940" max="7940" width="10.85546875" style="367" customWidth="1"/>
    <col min="7941" max="7941" width="15.28515625" style="367" customWidth="1"/>
    <col min="7942" max="7944" width="13.85546875" style="367" customWidth="1"/>
    <col min="7945" max="7945" width="10.28515625" style="367" bestFit="1" customWidth="1"/>
    <col min="7946" max="8191" width="9.140625" style="367"/>
    <col min="8192" max="8192" width="10.7109375" style="367" customWidth="1"/>
    <col min="8193" max="8193" width="63" style="367" customWidth="1"/>
    <col min="8194" max="8194" width="12.140625" style="367" customWidth="1"/>
    <col min="8195" max="8195" width="20" style="367" customWidth="1"/>
    <col min="8196" max="8196" width="10.85546875" style="367" customWidth="1"/>
    <col min="8197" max="8197" width="15.28515625" style="367" customWidth="1"/>
    <col min="8198" max="8200" width="13.85546875" style="367" customWidth="1"/>
    <col min="8201" max="8201" width="10.28515625" style="367" bestFit="1" customWidth="1"/>
    <col min="8202" max="8447" width="9.140625" style="367"/>
    <col min="8448" max="8448" width="10.7109375" style="367" customWidth="1"/>
    <col min="8449" max="8449" width="63" style="367" customWidth="1"/>
    <col min="8450" max="8450" width="12.140625" style="367" customWidth="1"/>
    <col min="8451" max="8451" width="20" style="367" customWidth="1"/>
    <col min="8452" max="8452" width="10.85546875" style="367" customWidth="1"/>
    <col min="8453" max="8453" width="15.28515625" style="367" customWidth="1"/>
    <col min="8454" max="8456" width="13.85546875" style="367" customWidth="1"/>
    <col min="8457" max="8457" width="10.28515625" style="367" bestFit="1" customWidth="1"/>
    <col min="8458" max="8703" width="9.140625" style="367"/>
    <col min="8704" max="8704" width="10.7109375" style="367" customWidth="1"/>
    <col min="8705" max="8705" width="63" style="367" customWidth="1"/>
    <col min="8706" max="8706" width="12.140625" style="367" customWidth="1"/>
    <col min="8707" max="8707" width="20" style="367" customWidth="1"/>
    <col min="8708" max="8708" width="10.85546875" style="367" customWidth="1"/>
    <col min="8709" max="8709" width="15.28515625" style="367" customWidth="1"/>
    <col min="8710" max="8712" width="13.85546875" style="367" customWidth="1"/>
    <col min="8713" max="8713" width="10.28515625" style="367" bestFit="1" customWidth="1"/>
    <col min="8714" max="8959" width="9.140625" style="367"/>
    <col min="8960" max="8960" width="10.7109375" style="367" customWidth="1"/>
    <col min="8961" max="8961" width="63" style="367" customWidth="1"/>
    <col min="8962" max="8962" width="12.140625" style="367" customWidth="1"/>
    <col min="8963" max="8963" width="20" style="367" customWidth="1"/>
    <col min="8964" max="8964" width="10.85546875" style="367" customWidth="1"/>
    <col min="8965" max="8965" width="15.28515625" style="367" customWidth="1"/>
    <col min="8966" max="8968" width="13.85546875" style="367" customWidth="1"/>
    <col min="8969" max="8969" width="10.28515625" style="367" bestFit="1" customWidth="1"/>
    <col min="8970" max="9215" width="9.140625" style="367"/>
    <col min="9216" max="9216" width="10.7109375" style="367" customWidth="1"/>
    <col min="9217" max="9217" width="63" style="367" customWidth="1"/>
    <col min="9218" max="9218" width="12.140625" style="367" customWidth="1"/>
    <col min="9219" max="9219" width="20" style="367" customWidth="1"/>
    <col min="9220" max="9220" width="10.85546875" style="367" customWidth="1"/>
    <col min="9221" max="9221" width="15.28515625" style="367" customWidth="1"/>
    <col min="9222" max="9224" width="13.85546875" style="367" customWidth="1"/>
    <col min="9225" max="9225" width="10.28515625" style="367" bestFit="1" customWidth="1"/>
    <col min="9226" max="9471" width="9.140625" style="367"/>
    <col min="9472" max="9472" width="10.7109375" style="367" customWidth="1"/>
    <col min="9473" max="9473" width="63" style="367" customWidth="1"/>
    <col min="9474" max="9474" width="12.140625" style="367" customWidth="1"/>
    <col min="9475" max="9475" width="20" style="367" customWidth="1"/>
    <col min="9476" max="9476" width="10.85546875" style="367" customWidth="1"/>
    <col min="9477" max="9477" width="15.28515625" style="367" customWidth="1"/>
    <col min="9478" max="9480" width="13.85546875" style="367" customWidth="1"/>
    <col min="9481" max="9481" width="10.28515625" style="367" bestFit="1" customWidth="1"/>
    <col min="9482" max="9727" width="9.140625" style="367"/>
    <col min="9728" max="9728" width="10.7109375" style="367" customWidth="1"/>
    <col min="9729" max="9729" width="63" style="367" customWidth="1"/>
    <col min="9730" max="9730" width="12.140625" style="367" customWidth="1"/>
    <col min="9731" max="9731" width="20" style="367" customWidth="1"/>
    <col min="9732" max="9732" width="10.85546875" style="367" customWidth="1"/>
    <col min="9733" max="9733" width="15.28515625" style="367" customWidth="1"/>
    <col min="9734" max="9736" width="13.85546875" style="367" customWidth="1"/>
    <col min="9737" max="9737" width="10.28515625" style="367" bestFit="1" customWidth="1"/>
    <col min="9738" max="9983" width="9.140625" style="367"/>
    <col min="9984" max="9984" width="10.7109375" style="367" customWidth="1"/>
    <col min="9985" max="9985" width="63" style="367" customWidth="1"/>
    <col min="9986" max="9986" width="12.140625" style="367" customWidth="1"/>
    <col min="9987" max="9987" width="20" style="367" customWidth="1"/>
    <col min="9988" max="9988" width="10.85546875" style="367" customWidth="1"/>
    <col min="9989" max="9989" width="15.28515625" style="367" customWidth="1"/>
    <col min="9990" max="9992" width="13.85546875" style="367" customWidth="1"/>
    <col min="9993" max="9993" width="10.28515625" style="367" bestFit="1" customWidth="1"/>
    <col min="9994" max="10239" width="9.140625" style="367"/>
    <col min="10240" max="10240" width="10.7109375" style="367" customWidth="1"/>
    <col min="10241" max="10241" width="63" style="367" customWidth="1"/>
    <col min="10242" max="10242" width="12.140625" style="367" customWidth="1"/>
    <col min="10243" max="10243" width="20" style="367" customWidth="1"/>
    <col min="10244" max="10244" width="10.85546875" style="367" customWidth="1"/>
    <col min="10245" max="10245" width="15.28515625" style="367" customWidth="1"/>
    <col min="10246" max="10248" width="13.85546875" style="367" customWidth="1"/>
    <col min="10249" max="10249" width="10.28515625" style="367" bestFit="1" customWidth="1"/>
    <col min="10250" max="10495" width="9.140625" style="367"/>
    <col min="10496" max="10496" width="10.7109375" style="367" customWidth="1"/>
    <col min="10497" max="10497" width="63" style="367" customWidth="1"/>
    <col min="10498" max="10498" width="12.140625" style="367" customWidth="1"/>
    <col min="10499" max="10499" width="20" style="367" customWidth="1"/>
    <col min="10500" max="10500" width="10.85546875" style="367" customWidth="1"/>
    <col min="10501" max="10501" width="15.28515625" style="367" customWidth="1"/>
    <col min="10502" max="10504" width="13.85546875" style="367" customWidth="1"/>
    <col min="10505" max="10505" width="10.28515625" style="367" bestFit="1" customWidth="1"/>
    <col min="10506" max="10751" width="9.140625" style="367"/>
    <col min="10752" max="10752" width="10.7109375" style="367" customWidth="1"/>
    <col min="10753" max="10753" width="63" style="367" customWidth="1"/>
    <col min="10754" max="10754" width="12.140625" style="367" customWidth="1"/>
    <col min="10755" max="10755" width="20" style="367" customWidth="1"/>
    <col min="10756" max="10756" width="10.85546875" style="367" customWidth="1"/>
    <col min="10757" max="10757" width="15.28515625" style="367" customWidth="1"/>
    <col min="10758" max="10760" width="13.85546875" style="367" customWidth="1"/>
    <col min="10761" max="10761" width="10.28515625" style="367" bestFit="1" customWidth="1"/>
    <col min="10762" max="11007" width="9.140625" style="367"/>
    <col min="11008" max="11008" width="10.7109375" style="367" customWidth="1"/>
    <col min="11009" max="11009" width="63" style="367" customWidth="1"/>
    <col min="11010" max="11010" width="12.140625" style="367" customWidth="1"/>
    <col min="11011" max="11011" width="20" style="367" customWidth="1"/>
    <col min="11012" max="11012" width="10.85546875" style="367" customWidth="1"/>
    <col min="11013" max="11013" width="15.28515625" style="367" customWidth="1"/>
    <col min="11014" max="11016" width="13.85546875" style="367" customWidth="1"/>
    <col min="11017" max="11017" width="10.28515625" style="367" bestFit="1" customWidth="1"/>
    <col min="11018" max="11263" width="9.140625" style="367"/>
    <col min="11264" max="11264" width="10.7109375" style="367" customWidth="1"/>
    <col min="11265" max="11265" width="63" style="367" customWidth="1"/>
    <col min="11266" max="11266" width="12.140625" style="367" customWidth="1"/>
    <col min="11267" max="11267" width="20" style="367" customWidth="1"/>
    <col min="11268" max="11268" width="10.85546875" style="367" customWidth="1"/>
    <col min="11269" max="11269" width="15.28515625" style="367" customWidth="1"/>
    <col min="11270" max="11272" width="13.85546875" style="367" customWidth="1"/>
    <col min="11273" max="11273" width="10.28515625" style="367" bestFit="1" customWidth="1"/>
    <col min="11274" max="11519" width="9.140625" style="367"/>
    <col min="11520" max="11520" width="10.7109375" style="367" customWidth="1"/>
    <col min="11521" max="11521" width="63" style="367" customWidth="1"/>
    <col min="11522" max="11522" width="12.140625" style="367" customWidth="1"/>
    <col min="11523" max="11523" width="20" style="367" customWidth="1"/>
    <col min="11524" max="11524" width="10.85546875" style="367" customWidth="1"/>
    <col min="11525" max="11525" width="15.28515625" style="367" customWidth="1"/>
    <col min="11526" max="11528" width="13.85546875" style="367" customWidth="1"/>
    <col min="11529" max="11529" width="10.28515625" style="367" bestFit="1" customWidth="1"/>
    <col min="11530" max="11775" width="9.140625" style="367"/>
    <col min="11776" max="11776" width="10.7109375" style="367" customWidth="1"/>
    <col min="11777" max="11777" width="63" style="367" customWidth="1"/>
    <col min="11778" max="11778" width="12.140625" style="367" customWidth="1"/>
    <col min="11779" max="11779" width="20" style="367" customWidth="1"/>
    <col min="11780" max="11780" width="10.85546875" style="367" customWidth="1"/>
    <col min="11781" max="11781" width="15.28515625" style="367" customWidth="1"/>
    <col min="11782" max="11784" width="13.85546875" style="367" customWidth="1"/>
    <col min="11785" max="11785" width="10.28515625" style="367" bestFit="1" customWidth="1"/>
    <col min="11786" max="12031" width="9.140625" style="367"/>
    <col min="12032" max="12032" width="10.7109375" style="367" customWidth="1"/>
    <col min="12033" max="12033" width="63" style="367" customWidth="1"/>
    <col min="12034" max="12034" width="12.140625" style="367" customWidth="1"/>
    <col min="12035" max="12035" width="20" style="367" customWidth="1"/>
    <col min="12036" max="12036" width="10.85546875" style="367" customWidth="1"/>
    <col min="12037" max="12037" width="15.28515625" style="367" customWidth="1"/>
    <col min="12038" max="12040" width="13.85546875" style="367" customWidth="1"/>
    <col min="12041" max="12041" width="10.28515625" style="367" bestFit="1" customWidth="1"/>
    <col min="12042" max="12287" width="9.140625" style="367"/>
    <col min="12288" max="12288" width="10.7109375" style="367" customWidth="1"/>
    <col min="12289" max="12289" width="63" style="367" customWidth="1"/>
    <col min="12290" max="12290" width="12.140625" style="367" customWidth="1"/>
    <col min="12291" max="12291" width="20" style="367" customWidth="1"/>
    <col min="12292" max="12292" width="10.85546875" style="367" customWidth="1"/>
    <col min="12293" max="12293" width="15.28515625" style="367" customWidth="1"/>
    <col min="12294" max="12296" width="13.85546875" style="367" customWidth="1"/>
    <col min="12297" max="12297" width="10.28515625" style="367" bestFit="1" customWidth="1"/>
    <col min="12298" max="12543" width="9.140625" style="367"/>
    <col min="12544" max="12544" width="10.7109375" style="367" customWidth="1"/>
    <col min="12545" max="12545" width="63" style="367" customWidth="1"/>
    <col min="12546" max="12546" width="12.140625" style="367" customWidth="1"/>
    <col min="12547" max="12547" width="20" style="367" customWidth="1"/>
    <col min="12548" max="12548" width="10.85546875" style="367" customWidth="1"/>
    <col min="12549" max="12549" width="15.28515625" style="367" customWidth="1"/>
    <col min="12550" max="12552" width="13.85546875" style="367" customWidth="1"/>
    <col min="12553" max="12553" width="10.28515625" style="367" bestFit="1" customWidth="1"/>
    <col min="12554" max="12799" width="9.140625" style="367"/>
    <col min="12800" max="12800" width="10.7109375" style="367" customWidth="1"/>
    <col min="12801" max="12801" width="63" style="367" customWidth="1"/>
    <col min="12802" max="12802" width="12.140625" style="367" customWidth="1"/>
    <col min="12803" max="12803" width="20" style="367" customWidth="1"/>
    <col min="12804" max="12804" width="10.85546875" style="367" customWidth="1"/>
    <col min="12805" max="12805" width="15.28515625" style="367" customWidth="1"/>
    <col min="12806" max="12808" width="13.85546875" style="367" customWidth="1"/>
    <col min="12809" max="12809" width="10.28515625" style="367" bestFit="1" customWidth="1"/>
    <col min="12810" max="13055" width="9.140625" style="367"/>
    <col min="13056" max="13056" width="10.7109375" style="367" customWidth="1"/>
    <col min="13057" max="13057" width="63" style="367" customWidth="1"/>
    <col min="13058" max="13058" width="12.140625" style="367" customWidth="1"/>
    <col min="13059" max="13059" width="20" style="367" customWidth="1"/>
    <col min="13060" max="13060" width="10.85546875" style="367" customWidth="1"/>
    <col min="13061" max="13061" width="15.28515625" style="367" customWidth="1"/>
    <col min="13062" max="13064" width="13.85546875" style="367" customWidth="1"/>
    <col min="13065" max="13065" width="10.28515625" style="367" bestFit="1" customWidth="1"/>
    <col min="13066" max="13311" width="9.140625" style="367"/>
    <col min="13312" max="13312" width="10.7109375" style="367" customWidth="1"/>
    <col min="13313" max="13313" width="63" style="367" customWidth="1"/>
    <col min="13314" max="13314" width="12.140625" style="367" customWidth="1"/>
    <col min="13315" max="13315" width="20" style="367" customWidth="1"/>
    <col min="13316" max="13316" width="10.85546875" style="367" customWidth="1"/>
    <col min="13317" max="13317" width="15.28515625" style="367" customWidth="1"/>
    <col min="13318" max="13320" width="13.85546875" style="367" customWidth="1"/>
    <col min="13321" max="13321" width="10.28515625" style="367" bestFit="1" customWidth="1"/>
    <col min="13322" max="13567" width="9.140625" style="367"/>
    <col min="13568" max="13568" width="10.7109375" style="367" customWidth="1"/>
    <col min="13569" max="13569" width="63" style="367" customWidth="1"/>
    <col min="13570" max="13570" width="12.140625" style="367" customWidth="1"/>
    <col min="13571" max="13571" width="20" style="367" customWidth="1"/>
    <col min="13572" max="13572" width="10.85546875" style="367" customWidth="1"/>
    <col min="13573" max="13573" width="15.28515625" style="367" customWidth="1"/>
    <col min="13574" max="13576" width="13.85546875" style="367" customWidth="1"/>
    <col min="13577" max="13577" width="10.28515625" style="367" bestFit="1" customWidth="1"/>
    <col min="13578" max="13823" width="9.140625" style="367"/>
    <col min="13824" max="13824" width="10.7109375" style="367" customWidth="1"/>
    <col min="13825" max="13825" width="63" style="367" customWidth="1"/>
    <col min="13826" max="13826" width="12.140625" style="367" customWidth="1"/>
    <col min="13827" max="13827" width="20" style="367" customWidth="1"/>
    <col min="13828" max="13828" width="10.85546875" style="367" customWidth="1"/>
    <col min="13829" max="13829" width="15.28515625" style="367" customWidth="1"/>
    <col min="13830" max="13832" width="13.85546875" style="367" customWidth="1"/>
    <col min="13833" max="13833" width="10.28515625" style="367" bestFit="1" customWidth="1"/>
    <col min="13834" max="14079" width="9.140625" style="367"/>
    <col min="14080" max="14080" width="10.7109375" style="367" customWidth="1"/>
    <col min="14081" max="14081" width="63" style="367" customWidth="1"/>
    <col min="14082" max="14082" width="12.140625" style="367" customWidth="1"/>
    <col min="14083" max="14083" width="20" style="367" customWidth="1"/>
    <col min="14084" max="14084" width="10.85546875" style="367" customWidth="1"/>
    <col min="14085" max="14085" width="15.28515625" style="367" customWidth="1"/>
    <col min="14086" max="14088" width="13.85546875" style="367" customWidth="1"/>
    <col min="14089" max="14089" width="10.28515625" style="367" bestFit="1" customWidth="1"/>
    <col min="14090" max="14335" width="9.140625" style="367"/>
    <col min="14336" max="14336" width="10.7109375" style="367" customWidth="1"/>
    <col min="14337" max="14337" width="63" style="367" customWidth="1"/>
    <col min="14338" max="14338" width="12.140625" style="367" customWidth="1"/>
    <col min="14339" max="14339" width="20" style="367" customWidth="1"/>
    <col min="14340" max="14340" width="10.85546875" style="367" customWidth="1"/>
    <col min="14341" max="14341" width="15.28515625" style="367" customWidth="1"/>
    <col min="14342" max="14344" width="13.85546875" style="367" customWidth="1"/>
    <col min="14345" max="14345" width="10.28515625" style="367" bestFit="1" customWidth="1"/>
    <col min="14346" max="14591" width="9.140625" style="367"/>
    <col min="14592" max="14592" width="10.7109375" style="367" customWidth="1"/>
    <col min="14593" max="14593" width="63" style="367" customWidth="1"/>
    <col min="14594" max="14594" width="12.140625" style="367" customWidth="1"/>
    <col min="14595" max="14595" width="20" style="367" customWidth="1"/>
    <col min="14596" max="14596" width="10.85546875" style="367" customWidth="1"/>
    <col min="14597" max="14597" width="15.28515625" style="367" customWidth="1"/>
    <col min="14598" max="14600" width="13.85546875" style="367" customWidth="1"/>
    <col min="14601" max="14601" width="10.28515625" style="367" bestFit="1" customWidth="1"/>
    <col min="14602" max="14847" width="9.140625" style="367"/>
    <col min="14848" max="14848" width="10.7109375" style="367" customWidth="1"/>
    <col min="14849" max="14849" width="63" style="367" customWidth="1"/>
    <col min="14850" max="14850" width="12.140625" style="367" customWidth="1"/>
    <col min="14851" max="14851" width="20" style="367" customWidth="1"/>
    <col min="14852" max="14852" width="10.85546875" style="367" customWidth="1"/>
    <col min="14853" max="14853" width="15.28515625" style="367" customWidth="1"/>
    <col min="14854" max="14856" width="13.85546875" style="367" customWidth="1"/>
    <col min="14857" max="14857" width="10.28515625" style="367" bestFit="1" customWidth="1"/>
    <col min="14858" max="15103" width="9.140625" style="367"/>
    <col min="15104" max="15104" width="10.7109375" style="367" customWidth="1"/>
    <col min="15105" max="15105" width="63" style="367" customWidth="1"/>
    <col min="15106" max="15106" width="12.140625" style="367" customWidth="1"/>
    <col min="15107" max="15107" width="20" style="367" customWidth="1"/>
    <col min="15108" max="15108" width="10.85546875" style="367" customWidth="1"/>
    <col min="15109" max="15109" width="15.28515625" style="367" customWidth="1"/>
    <col min="15110" max="15112" width="13.85546875" style="367" customWidth="1"/>
    <col min="15113" max="15113" width="10.28515625" style="367" bestFit="1" customWidth="1"/>
    <col min="15114" max="15359" width="9.140625" style="367"/>
    <col min="15360" max="15360" width="10.7109375" style="367" customWidth="1"/>
    <col min="15361" max="15361" width="63" style="367" customWidth="1"/>
    <col min="15362" max="15362" width="12.140625" style="367" customWidth="1"/>
    <col min="15363" max="15363" width="20" style="367" customWidth="1"/>
    <col min="15364" max="15364" width="10.85546875" style="367" customWidth="1"/>
    <col min="15365" max="15365" width="15.28515625" style="367" customWidth="1"/>
    <col min="15366" max="15368" width="13.85546875" style="367" customWidth="1"/>
    <col min="15369" max="15369" width="10.28515625" style="367" bestFit="1" customWidth="1"/>
    <col min="15370" max="15615" width="9.140625" style="367"/>
    <col min="15616" max="15616" width="10.7109375" style="367" customWidth="1"/>
    <col min="15617" max="15617" width="63" style="367" customWidth="1"/>
    <col min="15618" max="15618" width="12.140625" style="367" customWidth="1"/>
    <col min="15619" max="15619" width="20" style="367" customWidth="1"/>
    <col min="15620" max="15620" width="10.85546875" style="367" customWidth="1"/>
    <col min="15621" max="15621" width="15.28515625" style="367" customWidth="1"/>
    <col min="15622" max="15624" width="13.85546875" style="367" customWidth="1"/>
    <col min="15625" max="15625" width="10.28515625" style="367" bestFit="1" customWidth="1"/>
    <col min="15626" max="15871" width="9.140625" style="367"/>
    <col min="15872" max="15872" width="10.7109375" style="367" customWidth="1"/>
    <col min="15873" max="15873" width="63" style="367" customWidth="1"/>
    <col min="15874" max="15874" width="12.140625" style="367" customWidth="1"/>
    <col min="15875" max="15875" width="20" style="367" customWidth="1"/>
    <col min="15876" max="15876" width="10.85546875" style="367" customWidth="1"/>
    <col min="15877" max="15877" width="15.28515625" style="367" customWidth="1"/>
    <col min="15878" max="15880" width="13.85546875" style="367" customWidth="1"/>
    <col min="15881" max="15881" width="10.28515625" style="367" bestFit="1" customWidth="1"/>
    <col min="15882" max="16127" width="9.140625" style="367"/>
    <col min="16128" max="16128" width="10.7109375" style="367" customWidth="1"/>
    <col min="16129" max="16129" width="63" style="367" customWidth="1"/>
    <col min="16130" max="16130" width="12.140625" style="367" customWidth="1"/>
    <col min="16131" max="16131" width="20" style="367" customWidth="1"/>
    <col min="16132" max="16132" width="10.85546875" style="367" customWidth="1"/>
    <col min="16133" max="16133" width="15.28515625" style="367" customWidth="1"/>
    <col min="16134" max="16136" width="13.85546875" style="367" customWidth="1"/>
    <col min="16137" max="16137" width="10.28515625" style="367" bestFit="1" customWidth="1"/>
    <col min="16138" max="16384" width="9.140625" style="367"/>
  </cols>
  <sheetData>
    <row r="1" spans="1:16" s="350" customFormat="1" ht="13.5" customHeight="1" x14ac:dyDescent="0.2">
      <c r="A1" s="451" t="s">
        <v>337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3"/>
    </row>
    <row r="2" spans="1:16" s="351" customFormat="1" ht="16.5" customHeight="1" x14ac:dyDescent="0.2">
      <c r="A2" s="454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6"/>
    </row>
    <row r="3" spans="1:16" s="352" customFormat="1" ht="24" customHeight="1" thickBot="1" x14ac:dyDescent="0.25">
      <c r="A3" s="457" t="s">
        <v>456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9"/>
    </row>
    <row r="4" spans="1:16" s="353" customFormat="1" ht="21.75" customHeight="1" x14ac:dyDescent="0.2">
      <c r="A4" s="443" t="str">
        <f>Orçamento!A4</f>
        <v>COLETA, TRANSPORTE, TRANSBORDO, TRIAGEM, TRANSPORTE DE REJEITO E DESTINO FINAL DE RESÍDUOS SÓLIDOS ORGÂNICOS E RECICLÁVEIS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5"/>
    </row>
    <row r="5" spans="1:16" s="353" customFormat="1" ht="21.75" customHeight="1" thickBot="1" x14ac:dyDescent="0.25">
      <c r="A5" s="446" t="s">
        <v>457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8"/>
    </row>
    <row r="6" spans="1:16" s="354" customFormat="1" ht="22.5" customHeight="1" thickBot="1" x14ac:dyDescent="0.25">
      <c r="A6" s="449" t="s">
        <v>338</v>
      </c>
      <c r="B6" s="377" t="s">
        <v>339</v>
      </c>
      <c r="C6" s="378" t="s">
        <v>340</v>
      </c>
      <c r="D6" s="379" t="s">
        <v>341</v>
      </c>
      <c r="E6" s="440" t="s">
        <v>342</v>
      </c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2"/>
    </row>
    <row r="7" spans="1:16" s="360" customFormat="1" ht="26.25" customHeight="1" thickTop="1" thickBot="1" x14ac:dyDescent="0.25">
      <c r="A7" s="450"/>
      <c r="B7" s="355"/>
      <c r="C7" s="357" t="s">
        <v>343</v>
      </c>
      <c r="D7" s="356" t="s">
        <v>344</v>
      </c>
      <c r="E7" s="358" t="s">
        <v>345</v>
      </c>
      <c r="F7" s="358" t="s">
        <v>346</v>
      </c>
      <c r="G7" s="358" t="s">
        <v>347</v>
      </c>
      <c r="H7" s="359" t="s">
        <v>348</v>
      </c>
      <c r="I7" s="358" t="s">
        <v>349</v>
      </c>
      <c r="J7" s="358" t="s">
        <v>350</v>
      </c>
      <c r="K7" s="358" t="s">
        <v>351</v>
      </c>
      <c r="L7" s="359" t="s">
        <v>352</v>
      </c>
      <c r="M7" s="358" t="s">
        <v>353</v>
      </c>
      <c r="N7" s="358" t="s">
        <v>354</v>
      </c>
      <c r="O7" s="358" t="s">
        <v>355</v>
      </c>
      <c r="P7" s="359" t="s">
        <v>356</v>
      </c>
    </row>
    <row r="8" spans="1:16" ht="26.1" customHeight="1" thickTop="1" x14ac:dyDescent="0.2">
      <c r="A8" s="376">
        <v>1</v>
      </c>
      <c r="B8" s="361" t="str">
        <f>Orçamento!A9</f>
        <v>1. Mão-de-obra</v>
      </c>
      <c r="C8" s="362">
        <f>E8*12</f>
        <v>69815.720354765304</v>
      </c>
      <c r="D8" s="363">
        <f>C8/$C$15</f>
        <v>0.23921494386929343</v>
      </c>
      <c r="E8" s="364">
        <f>Orçamento!E9</f>
        <v>5817.976696230442</v>
      </c>
      <c r="F8" s="364">
        <f>E8</f>
        <v>5817.976696230442</v>
      </c>
      <c r="G8" s="364">
        <f>E8</f>
        <v>5817.976696230442</v>
      </c>
      <c r="H8" s="365">
        <f>E8</f>
        <v>5817.976696230442</v>
      </c>
      <c r="I8" s="364">
        <f>E8</f>
        <v>5817.976696230442</v>
      </c>
      <c r="J8" s="364">
        <f>E8</f>
        <v>5817.976696230442</v>
      </c>
      <c r="K8" s="364">
        <f>E8</f>
        <v>5817.976696230442</v>
      </c>
      <c r="L8" s="365">
        <f>E8</f>
        <v>5817.976696230442</v>
      </c>
      <c r="M8" s="364">
        <f>E8</f>
        <v>5817.976696230442</v>
      </c>
      <c r="N8" s="364">
        <f>E8</f>
        <v>5817.976696230442</v>
      </c>
      <c r="O8" s="364">
        <f>E8</f>
        <v>5817.976696230442</v>
      </c>
      <c r="P8" s="365">
        <f>E8</f>
        <v>5817.976696230442</v>
      </c>
    </row>
    <row r="9" spans="1:16" ht="26.1" customHeight="1" x14ac:dyDescent="0.2">
      <c r="A9" s="376">
        <v>2</v>
      </c>
      <c r="B9" s="361" t="str">
        <f>Orçamento!A15</f>
        <v>2. Uniformes e Equipamentos de Proteção Individual</v>
      </c>
      <c r="C9" s="362">
        <f t="shared" ref="C9:C14" si="0">E9*12</f>
        <v>2719.7808187999999</v>
      </c>
      <c r="D9" s="363">
        <f t="shared" ref="D9:D14" si="1">C9/$C$15</f>
        <v>9.3189930949643934E-3</v>
      </c>
      <c r="E9" s="364">
        <f>Orçamento!E15</f>
        <v>226.64840156666668</v>
      </c>
      <c r="F9" s="364">
        <f t="shared" ref="F9:F14" si="2">E9</f>
        <v>226.64840156666668</v>
      </c>
      <c r="G9" s="364">
        <f t="shared" ref="G9:G14" si="3">E9</f>
        <v>226.64840156666668</v>
      </c>
      <c r="H9" s="365">
        <f t="shared" ref="H9:H14" si="4">E9</f>
        <v>226.64840156666668</v>
      </c>
      <c r="I9" s="364">
        <f t="shared" ref="I9:I14" si="5">E9</f>
        <v>226.64840156666668</v>
      </c>
      <c r="J9" s="364">
        <f t="shared" ref="J9:J14" si="6">E9</f>
        <v>226.64840156666668</v>
      </c>
      <c r="K9" s="364">
        <f t="shared" ref="K9:K14" si="7">E9</f>
        <v>226.64840156666668</v>
      </c>
      <c r="L9" s="365">
        <f t="shared" ref="L9:L14" si="8">E9</f>
        <v>226.64840156666668</v>
      </c>
      <c r="M9" s="364">
        <f t="shared" ref="M9:M14" si="9">E9</f>
        <v>226.64840156666668</v>
      </c>
      <c r="N9" s="364">
        <f t="shared" ref="N9:N14" si="10">E9</f>
        <v>226.64840156666668</v>
      </c>
      <c r="O9" s="364">
        <f t="shared" ref="O9:O14" si="11">E9</f>
        <v>226.64840156666668</v>
      </c>
      <c r="P9" s="365">
        <f t="shared" ref="P9:P14" si="12">E9</f>
        <v>226.64840156666668</v>
      </c>
    </row>
    <row r="10" spans="1:16" ht="26.1" customHeight="1" x14ac:dyDescent="0.2">
      <c r="A10" s="376">
        <v>3</v>
      </c>
      <c r="B10" s="361" t="str">
        <f>Orçamento!A16</f>
        <v>3. Veículos e Equipamentos</v>
      </c>
      <c r="C10" s="362">
        <f t="shared" si="0"/>
        <v>142917.03738199396</v>
      </c>
      <c r="D10" s="363">
        <f t="shared" si="1"/>
        <v>0.48968757898042498</v>
      </c>
      <c r="E10" s="364">
        <f>Orçamento!E16</f>
        <v>11909.753115166162</v>
      </c>
      <c r="F10" s="364">
        <f t="shared" si="2"/>
        <v>11909.753115166162</v>
      </c>
      <c r="G10" s="364">
        <f t="shared" si="3"/>
        <v>11909.753115166162</v>
      </c>
      <c r="H10" s="365">
        <f t="shared" si="4"/>
        <v>11909.753115166162</v>
      </c>
      <c r="I10" s="364">
        <f t="shared" si="5"/>
        <v>11909.753115166162</v>
      </c>
      <c r="J10" s="364">
        <f t="shared" si="6"/>
        <v>11909.753115166162</v>
      </c>
      <c r="K10" s="364">
        <f t="shared" si="7"/>
        <v>11909.753115166162</v>
      </c>
      <c r="L10" s="365">
        <f t="shared" si="8"/>
        <v>11909.753115166162</v>
      </c>
      <c r="M10" s="364">
        <f t="shared" si="9"/>
        <v>11909.753115166162</v>
      </c>
      <c r="N10" s="364">
        <f t="shared" si="10"/>
        <v>11909.753115166162</v>
      </c>
      <c r="O10" s="364">
        <f t="shared" si="11"/>
        <v>11909.753115166162</v>
      </c>
      <c r="P10" s="365">
        <f t="shared" si="12"/>
        <v>11909.753115166162</v>
      </c>
    </row>
    <row r="11" spans="1:16" s="366" customFormat="1" ht="24.95" customHeight="1" x14ac:dyDescent="0.2">
      <c r="A11" s="376">
        <v>4</v>
      </c>
      <c r="B11" s="361" t="str">
        <f>Orçamento!A45</f>
        <v>4. Ferramentas e Materiais de Consumo</v>
      </c>
      <c r="C11" s="362">
        <f t="shared" si="0"/>
        <v>785.5</v>
      </c>
      <c r="D11" s="363">
        <f t="shared" si="1"/>
        <v>2.6914187442958122E-3</v>
      </c>
      <c r="E11" s="364">
        <f>Orçamento!E45</f>
        <v>65.458333333333329</v>
      </c>
      <c r="F11" s="364">
        <f t="shared" si="2"/>
        <v>65.458333333333329</v>
      </c>
      <c r="G11" s="364">
        <f t="shared" si="3"/>
        <v>65.458333333333329</v>
      </c>
      <c r="H11" s="365">
        <f t="shared" si="4"/>
        <v>65.458333333333329</v>
      </c>
      <c r="I11" s="364">
        <f t="shared" si="5"/>
        <v>65.458333333333329</v>
      </c>
      <c r="J11" s="364">
        <f t="shared" si="6"/>
        <v>65.458333333333329</v>
      </c>
      <c r="K11" s="364">
        <f t="shared" si="7"/>
        <v>65.458333333333329</v>
      </c>
      <c r="L11" s="365">
        <f t="shared" si="8"/>
        <v>65.458333333333329</v>
      </c>
      <c r="M11" s="364">
        <f t="shared" si="9"/>
        <v>65.458333333333329</v>
      </c>
      <c r="N11" s="364">
        <f t="shared" si="10"/>
        <v>65.458333333333329</v>
      </c>
      <c r="O11" s="364">
        <f t="shared" si="11"/>
        <v>65.458333333333329</v>
      </c>
      <c r="P11" s="365">
        <f t="shared" si="12"/>
        <v>65.458333333333329</v>
      </c>
    </row>
    <row r="12" spans="1:16" s="360" customFormat="1" ht="26.1" customHeight="1" x14ac:dyDescent="0.2">
      <c r="A12" s="376">
        <v>5</v>
      </c>
      <c r="B12" s="361" t="str">
        <f>Orçamento!A46</f>
        <v>5. Monitoramento da Frota</v>
      </c>
      <c r="C12" s="362">
        <f t="shared" si="0"/>
        <v>528.29500000000007</v>
      </c>
      <c r="D12" s="363">
        <f t="shared" si="1"/>
        <v>1.8101375754522675E-3</v>
      </c>
      <c r="E12" s="364">
        <f>Orçamento!E46</f>
        <v>44.024583333333339</v>
      </c>
      <c r="F12" s="364">
        <f t="shared" si="2"/>
        <v>44.024583333333339</v>
      </c>
      <c r="G12" s="364">
        <f t="shared" si="3"/>
        <v>44.024583333333339</v>
      </c>
      <c r="H12" s="365">
        <f t="shared" si="4"/>
        <v>44.024583333333339</v>
      </c>
      <c r="I12" s="364">
        <f t="shared" si="5"/>
        <v>44.024583333333339</v>
      </c>
      <c r="J12" s="364">
        <f t="shared" si="6"/>
        <v>44.024583333333339</v>
      </c>
      <c r="K12" s="364">
        <f t="shared" si="7"/>
        <v>44.024583333333339</v>
      </c>
      <c r="L12" s="365">
        <f t="shared" si="8"/>
        <v>44.024583333333339</v>
      </c>
      <c r="M12" s="364">
        <f t="shared" si="9"/>
        <v>44.024583333333339</v>
      </c>
      <c r="N12" s="364">
        <f t="shared" si="10"/>
        <v>44.024583333333339</v>
      </c>
      <c r="O12" s="364">
        <f t="shared" si="11"/>
        <v>44.024583333333339</v>
      </c>
      <c r="P12" s="365">
        <f t="shared" si="12"/>
        <v>44.024583333333339</v>
      </c>
    </row>
    <row r="13" spans="1:16" ht="26.1" customHeight="1" x14ac:dyDescent="0.2">
      <c r="A13" s="376">
        <v>6</v>
      </c>
      <c r="B13" s="361" t="str">
        <f>Orçamento!A47</f>
        <v>6. Deposição no Aterro</v>
      </c>
      <c r="C13" s="362">
        <f t="shared" si="0"/>
        <v>12480</v>
      </c>
      <c r="D13" s="363">
        <f t="shared" si="1"/>
        <v>4.276117877633575E-2</v>
      </c>
      <c r="E13" s="364">
        <f>Orçamento!E47</f>
        <v>1040</v>
      </c>
      <c r="F13" s="364">
        <f t="shared" si="2"/>
        <v>1040</v>
      </c>
      <c r="G13" s="364">
        <f t="shared" si="3"/>
        <v>1040</v>
      </c>
      <c r="H13" s="365">
        <f t="shared" si="4"/>
        <v>1040</v>
      </c>
      <c r="I13" s="364">
        <f t="shared" si="5"/>
        <v>1040</v>
      </c>
      <c r="J13" s="364">
        <f t="shared" si="6"/>
        <v>1040</v>
      </c>
      <c r="K13" s="364">
        <f t="shared" si="7"/>
        <v>1040</v>
      </c>
      <c r="L13" s="365">
        <f t="shared" si="8"/>
        <v>1040</v>
      </c>
      <c r="M13" s="364">
        <f t="shared" si="9"/>
        <v>1040</v>
      </c>
      <c r="N13" s="364">
        <f t="shared" si="10"/>
        <v>1040</v>
      </c>
      <c r="O13" s="364">
        <f t="shared" si="11"/>
        <v>1040</v>
      </c>
      <c r="P13" s="365">
        <f t="shared" si="12"/>
        <v>1040</v>
      </c>
    </row>
    <row r="14" spans="1:16" ht="26.1" customHeight="1" thickBot="1" x14ac:dyDescent="0.25">
      <c r="A14" s="376">
        <v>7</v>
      </c>
      <c r="B14" s="361" t="str">
        <f>Orçamento!A48</f>
        <v>7. Benefícios e Despesas Indiretas - BDI</v>
      </c>
      <c r="C14" s="362">
        <f t="shared" si="0"/>
        <v>62607.173694023244</v>
      </c>
      <c r="D14" s="363">
        <f t="shared" si="1"/>
        <v>0.21451574895923339</v>
      </c>
      <c r="E14" s="364">
        <f>Orçamento!E48</f>
        <v>5217.264474501937</v>
      </c>
      <c r="F14" s="364">
        <f t="shared" si="2"/>
        <v>5217.264474501937</v>
      </c>
      <c r="G14" s="364">
        <f t="shared" si="3"/>
        <v>5217.264474501937</v>
      </c>
      <c r="H14" s="365">
        <f t="shared" si="4"/>
        <v>5217.264474501937</v>
      </c>
      <c r="I14" s="364">
        <f t="shared" si="5"/>
        <v>5217.264474501937</v>
      </c>
      <c r="J14" s="364">
        <f t="shared" si="6"/>
        <v>5217.264474501937</v>
      </c>
      <c r="K14" s="364">
        <f t="shared" si="7"/>
        <v>5217.264474501937</v>
      </c>
      <c r="L14" s="365">
        <f t="shared" si="8"/>
        <v>5217.264474501937</v>
      </c>
      <c r="M14" s="364">
        <f t="shared" si="9"/>
        <v>5217.264474501937</v>
      </c>
      <c r="N14" s="364">
        <f t="shared" si="10"/>
        <v>5217.264474501937</v>
      </c>
      <c r="O14" s="364">
        <f t="shared" si="11"/>
        <v>5217.264474501937</v>
      </c>
      <c r="P14" s="365">
        <f t="shared" si="12"/>
        <v>5217.264474501937</v>
      </c>
    </row>
    <row r="15" spans="1:16" s="354" customFormat="1" ht="26.1" customHeight="1" thickBot="1" x14ac:dyDescent="0.25">
      <c r="A15" s="368"/>
      <c r="B15" s="369" t="str">
        <f>[1]Orçamento!A73</f>
        <v>TOTAL GERAL DO ORÇAMENTO:</v>
      </c>
      <c r="C15" s="370">
        <f>SUM(C8:C14)</f>
        <v>291853.5072495825</v>
      </c>
      <c r="D15" s="371">
        <f>SUM(D8:D14)</f>
        <v>1</v>
      </c>
      <c r="E15" s="372">
        <f>SUM(E8:E14)</f>
        <v>24321.12560413187</v>
      </c>
      <c r="F15" s="372">
        <f t="shared" ref="F15:O15" si="13">SUM(F8:F14)</f>
        <v>24321.12560413187</v>
      </c>
      <c r="G15" s="372">
        <f t="shared" si="13"/>
        <v>24321.12560413187</v>
      </c>
      <c r="H15" s="372">
        <f t="shared" si="13"/>
        <v>24321.12560413187</v>
      </c>
      <c r="I15" s="373">
        <f t="shared" si="13"/>
        <v>24321.12560413187</v>
      </c>
      <c r="J15" s="373">
        <f t="shared" si="13"/>
        <v>24321.12560413187</v>
      </c>
      <c r="K15" s="373">
        <f t="shared" si="13"/>
        <v>24321.12560413187</v>
      </c>
      <c r="L15" s="373">
        <f t="shared" si="13"/>
        <v>24321.12560413187</v>
      </c>
      <c r="M15" s="373">
        <f t="shared" si="13"/>
        <v>24321.12560413187</v>
      </c>
      <c r="N15" s="373">
        <f t="shared" si="13"/>
        <v>24321.12560413187</v>
      </c>
      <c r="O15" s="373">
        <f t="shared" si="13"/>
        <v>24321.12560413187</v>
      </c>
      <c r="P15" s="373">
        <f>SUM(P8:P14)</f>
        <v>24321.12560413187</v>
      </c>
    </row>
  </sheetData>
  <mergeCells count="6">
    <mergeCell ref="E6:P6"/>
    <mergeCell ref="A4:P4"/>
    <mergeCell ref="A5:P5"/>
    <mergeCell ref="A6:A7"/>
    <mergeCell ref="A1:P2"/>
    <mergeCell ref="A3:P3"/>
  </mergeCells>
  <pageMargins left="0.9055118110236221" right="0.51181102362204722" top="2.5196850393700787" bottom="0.74803149606299213" header="0.31496062992125984" footer="0.31496062992125984"/>
  <pageSetup paperSize="9" scale="52" fitToHeight="0" orientation="landscape" r:id="rId1"/>
  <headerFooter alignWithMargins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3"/>
  <sheetViews>
    <sheetView view="pageBreakPreview" topLeftCell="A145" zoomScaleNormal="100" zoomScaleSheetLayoutView="100" workbookViewId="0">
      <selection activeCell="D166" sqref="D166"/>
    </sheetView>
  </sheetViews>
  <sheetFormatPr defaultColWidth="9.140625" defaultRowHeight="15.75" x14ac:dyDescent="0.2"/>
  <cols>
    <col min="1" max="1" width="49.28515625" style="109" customWidth="1"/>
    <col min="2" max="2" width="19.85546875" style="109" customWidth="1"/>
    <col min="3" max="3" width="14.7109375" style="109" customWidth="1"/>
    <col min="4" max="4" width="14.7109375" style="145" customWidth="1"/>
    <col min="5" max="5" width="15.42578125" style="145" customWidth="1"/>
    <col min="6" max="6" width="13.28515625" style="145" customWidth="1"/>
    <col min="7" max="7" width="28.140625" style="145" customWidth="1"/>
    <col min="8" max="8" width="9.140625" style="109"/>
    <col min="9" max="9" width="14.5703125" style="109" customWidth="1"/>
    <col min="10" max="10" width="13.42578125" style="109" customWidth="1"/>
    <col min="11" max="16384" width="9.140625" style="109"/>
  </cols>
  <sheetData>
    <row r="1" spans="1:9" ht="15.75" customHeight="1" x14ac:dyDescent="0.2">
      <c r="A1" s="431" t="s">
        <v>189</v>
      </c>
      <c r="B1" s="431"/>
      <c r="C1" s="431"/>
      <c r="D1" s="431"/>
      <c r="E1" s="431"/>
      <c r="F1" s="431"/>
    </row>
    <row r="2" spans="1:9" ht="15.6" customHeight="1" x14ac:dyDescent="0.2">
      <c r="A2" s="432" t="s">
        <v>283</v>
      </c>
      <c r="B2" s="432"/>
      <c r="C2" s="432"/>
      <c r="D2" s="432"/>
      <c r="E2" s="432"/>
      <c r="F2" s="432"/>
    </row>
    <row r="3" spans="1:9" ht="15.6" customHeight="1" x14ac:dyDescent="0.2">
      <c r="A3" s="472" t="s">
        <v>284</v>
      </c>
      <c r="B3" s="472"/>
      <c r="C3" s="472"/>
      <c r="D3" s="472"/>
      <c r="E3" s="472"/>
      <c r="F3" s="472"/>
    </row>
    <row r="4" spans="1:9" ht="16.5" customHeight="1" thickBot="1" x14ac:dyDescent="0.25">
      <c r="A4" s="433"/>
      <c r="B4" s="433"/>
      <c r="C4" s="433"/>
      <c r="D4" s="433"/>
      <c r="E4" s="433"/>
      <c r="F4" s="433"/>
    </row>
    <row r="5" spans="1:9" x14ac:dyDescent="0.2">
      <c r="A5" s="434" t="s">
        <v>399</v>
      </c>
      <c r="B5" s="435"/>
      <c r="C5" s="435"/>
      <c r="D5" s="435"/>
      <c r="E5" s="435"/>
      <c r="F5" s="436"/>
    </row>
    <row r="6" spans="1:9" ht="21.75" customHeight="1" thickBot="1" x14ac:dyDescent="0.25">
      <c r="A6" s="437" t="s">
        <v>40</v>
      </c>
      <c r="B6" s="438"/>
      <c r="C6" s="438"/>
      <c r="D6" s="438"/>
      <c r="E6" s="438"/>
      <c r="F6" s="439"/>
    </row>
    <row r="7" spans="1:9" ht="47.25" customHeight="1" x14ac:dyDescent="0.2">
      <c r="A7" s="464" t="s">
        <v>458</v>
      </c>
      <c r="B7" s="464"/>
      <c r="C7" s="464"/>
      <c r="D7" s="464"/>
      <c r="E7" s="464"/>
      <c r="F7" s="464"/>
    </row>
    <row r="8" spans="1:9" ht="45" customHeight="1" x14ac:dyDescent="0.2">
      <c r="A8" s="465" t="s">
        <v>481</v>
      </c>
      <c r="B8" s="466"/>
      <c r="C8" s="466"/>
      <c r="D8" s="466"/>
      <c r="E8" s="466"/>
      <c r="F8" s="466"/>
    </row>
    <row r="9" spans="1:9" ht="18.95" customHeight="1" x14ac:dyDescent="0.2">
      <c r="A9" s="414" t="s">
        <v>454</v>
      </c>
      <c r="B9" s="415" t="s">
        <v>462</v>
      </c>
      <c r="C9" s="416"/>
      <c r="D9" s="416"/>
      <c r="E9" s="416"/>
      <c r="F9" s="416"/>
    </row>
    <row r="10" spans="1:9" ht="18.95" customHeight="1" x14ac:dyDescent="0.2">
      <c r="A10" s="414" t="s">
        <v>443</v>
      </c>
      <c r="B10" s="415" t="s">
        <v>464</v>
      </c>
      <c r="C10" s="416"/>
      <c r="D10" s="416"/>
      <c r="E10" s="416"/>
      <c r="F10" s="416"/>
    </row>
    <row r="11" spans="1:9" ht="18.95" customHeight="1" x14ac:dyDescent="0.2">
      <c r="A11" s="414" t="s">
        <v>440</v>
      </c>
      <c r="B11" s="415" t="s">
        <v>463</v>
      </c>
      <c r="C11" s="416"/>
      <c r="D11" s="416"/>
      <c r="E11" s="416"/>
      <c r="F11" s="416"/>
    </row>
    <row r="12" spans="1:9" s="118" customFormat="1" ht="18.95" customHeight="1" x14ac:dyDescent="0.2">
      <c r="A12" s="417" t="s">
        <v>441</v>
      </c>
      <c r="B12" s="415" t="s">
        <v>465</v>
      </c>
      <c r="C12" s="416"/>
      <c r="D12" s="416"/>
      <c r="E12" s="416"/>
      <c r="F12" s="416"/>
      <c r="G12" s="144"/>
    </row>
    <row r="13" spans="1:9" ht="18.95" customHeight="1" x14ac:dyDescent="0.2">
      <c r="A13" s="467" t="s">
        <v>467</v>
      </c>
      <c r="B13" s="467"/>
      <c r="C13" s="467"/>
      <c r="D13" s="467"/>
      <c r="E13" s="467"/>
      <c r="F13" s="467"/>
      <c r="I13" s="265"/>
    </row>
    <row r="14" spans="1:9" ht="18.95" customHeight="1" x14ac:dyDescent="0.2">
      <c r="A14" s="467" t="s">
        <v>478</v>
      </c>
      <c r="B14" s="467"/>
      <c r="C14" s="467"/>
      <c r="D14" s="467"/>
      <c r="E14" s="467"/>
      <c r="F14" s="467"/>
    </row>
    <row r="15" spans="1:9" ht="18.95" customHeight="1" x14ac:dyDescent="0.2">
      <c r="A15" s="467" t="s">
        <v>480</v>
      </c>
      <c r="B15" s="467"/>
      <c r="C15" s="467"/>
      <c r="D15" s="467"/>
      <c r="E15" s="467"/>
      <c r="F15" s="467"/>
    </row>
    <row r="16" spans="1:9" ht="15.75" customHeight="1" thickBot="1" x14ac:dyDescent="0.25">
      <c r="A16" s="146"/>
      <c r="B16" s="147"/>
      <c r="C16" s="147"/>
      <c r="D16" s="148"/>
      <c r="E16" s="148"/>
      <c r="F16" s="149"/>
    </row>
    <row r="17" spans="1:7" s="118" customFormat="1" ht="15.75" customHeight="1" thickBot="1" x14ac:dyDescent="0.25">
      <c r="A17" s="428" t="s">
        <v>188</v>
      </c>
      <c r="B17" s="429"/>
      <c r="C17" s="429"/>
      <c r="D17" s="429"/>
      <c r="E17" s="429"/>
      <c r="F17" s="430"/>
      <c r="G17" s="144"/>
    </row>
    <row r="18" spans="1:7" s="118" customFormat="1" ht="15.75" customHeight="1" x14ac:dyDescent="0.2">
      <c r="A18" s="150" t="s">
        <v>187</v>
      </c>
      <c r="B18" s="151"/>
      <c r="C18" s="151"/>
      <c r="D18" s="152"/>
      <c r="E18" s="153" t="s">
        <v>35</v>
      </c>
      <c r="F18" s="154" t="s">
        <v>2</v>
      </c>
      <c r="G18" s="144"/>
    </row>
    <row r="19" spans="1:7" ht="15.75" customHeight="1" x14ac:dyDescent="0.2">
      <c r="A19" s="155" t="str">
        <f>A53</f>
        <v>1. Mão-de-obra</v>
      </c>
      <c r="B19" s="156"/>
      <c r="C19" s="157"/>
      <c r="D19" s="157"/>
      <c r="E19" s="158">
        <f>SUM(E20:E24)</f>
        <v>1848.8131576823394</v>
      </c>
      <c r="F19" s="159">
        <f t="shared" ref="F19:F36" si="0">IFERROR(E19/$E$37,0)</f>
        <v>0.24918192145167525</v>
      </c>
    </row>
    <row r="20" spans="1:7" ht="15.75" customHeight="1" x14ac:dyDescent="0.2">
      <c r="A20" s="160" t="str">
        <f>A55</f>
        <v>1.1. Coletor Turno Dia</v>
      </c>
      <c r="B20" s="161"/>
      <c r="C20" s="162"/>
      <c r="D20" s="162"/>
      <c r="E20" s="163">
        <f>F65</f>
        <v>1358.5514721411125</v>
      </c>
      <c r="F20" s="164">
        <f t="shared" si="0"/>
        <v>0.18310474739562063</v>
      </c>
    </row>
    <row r="21" spans="1:7" ht="15.75" customHeight="1" x14ac:dyDescent="0.2">
      <c r="A21" s="160" t="str">
        <f>A67</f>
        <v>1.2. Motorista Turno do Dia</v>
      </c>
      <c r="B21" s="161"/>
      <c r="C21" s="162"/>
      <c r="D21" s="162"/>
      <c r="E21" s="163">
        <f>F77</f>
        <v>644.89922954122676</v>
      </c>
      <c r="F21" s="164">
        <f t="shared" si="0"/>
        <v>8.6919128897393241E-2</v>
      </c>
    </row>
    <row r="22" spans="1:7" ht="15.75" customHeight="1" x14ac:dyDescent="0.2">
      <c r="A22" s="160" t="str">
        <f>A79</f>
        <v>1.3. Vale Transporte</v>
      </c>
      <c r="B22" s="161"/>
      <c r="C22" s="162"/>
      <c r="D22" s="162"/>
      <c r="E22" s="163">
        <f>F85</f>
        <v>-210.98099999999999</v>
      </c>
      <c r="F22" s="164">
        <f t="shared" si="0"/>
        <v>-2.8435891832196091E-2</v>
      </c>
    </row>
    <row r="23" spans="1:7" ht="15.75" customHeight="1" x14ac:dyDescent="0.2">
      <c r="A23" s="160" t="str">
        <f>A87</f>
        <v>1.4. Vale-refeição (diário)</v>
      </c>
      <c r="B23" s="161"/>
      <c r="C23" s="162"/>
      <c r="D23" s="162"/>
      <c r="E23" s="163">
        <f>F92</f>
        <v>38.665224000000002</v>
      </c>
      <c r="F23" s="164">
        <f t="shared" si="0"/>
        <v>5.2112755524508477E-3</v>
      </c>
    </row>
    <row r="24" spans="1:7" ht="15.75" customHeight="1" x14ac:dyDescent="0.2">
      <c r="A24" s="160" t="str">
        <f>A94</f>
        <v>1.5. Auxílio Alimentação (mensal)</v>
      </c>
      <c r="B24" s="161"/>
      <c r="C24" s="162"/>
      <c r="D24" s="162"/>
      <c r="E24" s="163">
        <f>F98</f>
        <v>17.678231999999998</v>
      </c>
      <c r="F24" s="164">
        <f t="shared" si="0"/>
        <v>2.3826614384066221E-3</v>
      </c>
    </row>
    <row r="25" spans="1:7" ht="15.75" customHeight="1" x14ac:dyDescent="0.2">
      <c r="A25" s="474" t="str">
        <f>A102</f>
        <v>2. Uniformes e Equipamentos de Proteção Individual</v>
      </c>
      <c r="B25" s="475"/>
      <c r="C25" s="475"/>
      <c r="D25" s="157"/>
      <c r="E25" s="158">
        <f>+F134</f>
        <v>88.40025</v>
      </c>
      <c r="F25" s="159">
        <f t="shared" si="0"/>
        <v>1.1914532336746402E-2</v>
      </c>
    </row>
    <row r="26" spans="1:7" s="118" customFormat="1" ht="15.75" customHeight="1" x14ac:dyDescent="0.2">
      <c r="A26" s="165" t="str">
        <f>A136</f>
        <v>3. Veículos e Equipamentos</v>
      </c>
      <c r="B26" s="166"/>
      <c r="C26" s="157"/>
      <c r="D26" s="157"/>
      <c r="E26" s="158">
        <f>E27</f>
        <v>3861.379368823164</v>
      </c>
      <c r="F26" s="159">
        <f t="shared" si="0"/>
        <v>0.52043438060739644</v>
      </c>
      <c r="G26" s="144"/>
    </row>
    <row r="27" spans="1:7" s="118" customFormat="1" ht="15.75" customHeight="1" x14ac:dyDescent="0.2">
      <c r="A27" s="167" t="str">
        <f>A138</f>
        <v>3.1. Veículo Coletor Compactador 12 m³ (mínimo)</v>
      </c>
      <c r="B27" s="168"/>
      <c r="C27" s="162"/>
      <c r="D27" s="162"/>
      <c r="E27" s="163">
        <f>SUM(E28:E33)</f>
        <v>3861.379368823164</v>
      </c>
      <c r="F27" s="164">
        <f t="shared" si="0"/>
        <v>0.52043438060739644</v>
      </c>
      <c r="G27" s="144"/>
    </row>
    <row r="28" spans="1:7" s="118" customFormat="1" ht="15.75" customHeight="1" x14ac:dyDescent="0.2">
      <c r="A28" s="167" t="str">
        <f>A140</f>
        <v>3.1.1. Depreciação</v>
      </c>
      <c r="B28" s="168"/>
      <c r="C28" s="162"/>
      <c r="D28" s="162"/>
      <c r="E28" s="163">
        <f>F154</f>
        <v>210.24384656724007</v>
      </c>
      <c r="F28" s="164">
        <f t="shared" si="0"/>
        <v>2.8336538737473375E-2</v>
      </c>
      <c r="G28" s="144"/>
    </row>
    <row r="29" spans="1:7" ht="15.75" customHeight="1" x14ac:dyDescent="0.2">
      <c r="A29" s="167" t="str">
        <f>A156</f>
        <v>3.1.2. Remuneração do Capital</v>
      </c>
      <c r="B29" s="168"/>
      <c r="C29" s="162"/>
      <c r="D29" s="162"/>
      <c r="E29" s="163">
        <f>F170</f>
        <v>245.04528340809762</v>
      </c>
      <c r="F29" s="164">
        <f t="shared" si="0"/>
        <v>3.302705538879093E-2</v>
      </c>
    </row>
    <row r="30" spans="1:7" x14ac:dyDescent="0.2">
      <c r="A30" s="167" t="str">
        <f>A172</f>
        <v>3.1.3. Impostos e Seguros</v>
      </c>
      <c r="B30" s="168"/>
      <c r="C30" s="162"/>
      <c r="D30" s="162"/>
      <c r="E30" s="163">
        <f>F178</f>
        <v>81.800758500000001</v>
      </c>
      <c r="F30" s="164">
        <f t="shared" si="0"/>
        <v>1.1025056855819221E-2</v>
      </c>
    </row>
    <row r="31" spans="1:7" x14ac:dyDescent="0.2">
      <c r="A31" s="167" t="str">
        <f>A180</f>
        <v>3.1.4. Consumos</v>
      </c>
      <c r="B31" s="168"/>
      <c r="C31" s="162"/>
      <c r="D31" s="162"/>
      <c r="E31" s="163">
        <f>F196</f>
        <v>2462.2539603478263</v>
      </c>
      <c r="F31" s="164">
        <f t="shared" si="0"/>
        <v>0.33186110256301388</v>
      </c>
    </row>
    <row r="32" spans="1:7" ht="15" customHeight="1" x14ac:dyDescent="0.2">
      <c r="A32" s="167" t="str">
        <f>A198</f>
        <v>3.1.5. Manutenção</v>
      </c>
      <c r="B32" s="168"/>
      <c r="C32" s="162"/>
      <c r="D32" s="162"/>
      <c r="E32" s="163">
        <f>F201</f>
        <v>718.048</v>
      </c>
      <c r="F32" s="164">
        <f t="shared" si="0"/>
        <v>9.6778076027342466E-2</v>
      </c>
    </row>
    <row r="33" spans="1:7" ht="15" customHeight="1" x14ac:dyDescent="0.2">
      <c r="A33" s="167" t="str">
        <f>A203</f>
        <v>3.1.6. Pneus</v>
      </c>
      <c r="B33" s="168"/>
      <c r="C33" s="162"/>
      <c r="D33" s="162"/>
      <c r="E33" s="163">
        <f>F210</f>
        <v>143.98752000000002</v>
      </c>
      <c r="F33" s="164">
        <f t="shared" si="0"/>
        <v>1.940655103495657E-2</v>
      </c>
    </row>
    <row r="34" spans="1:7" ht="15" customHeight="1" x14ac:dyDescent="0.2">
      <c r="A34" s="165" t="str">
        <f>A215</f>
        <v>4. Ferramentas e Materiais de Consumo</v>
      </c>
      <c r="B34" s="166"/>
      <c r="C34" s="157"/>
      <c r="D34" s="157"/>
      <c r="E34" s="158">
        <f>+F223</f>
        <v>14.94</v>
      </c>
      <c r="F34" s="159">
        <f t="shared" si="0"/>
        <v>2.0136041822392046E-3</v>
      </c>
    </row>
    <row r="35" spans="1:7" ht="15" customHeight="1" x14ac:dyDescent="0.2">
      <c r="A35" s="165" t="str">
        <f>A225</f>
        <v>5. Monitoramento da Frota</v>
      </c>
      <c r="B35" s="166"/>
      <c r="C35" s="157"/>
      <c r="D35" s="157"/>
      <c r="E35" s="158">
        <f>+F234</f>
        <v>14.3925</v>
      </c>
      <c r="F35" s="159">
        <f t="shared" si="0"/>
        <v>1.9398124627093543E-3</v>
      </c>
    </row>
    <row r="36" spans="1:7" ht="15" customHeight="1" thickBot="1" x14ac:dyDescent="0.25">
      <c r="A36" s="165" t="str">
        <f>A238</f>
        <v>6. Benefícios e Despesas Indiretas - BDI</v>
      </c>
      <c r="B36" s="166"/>
      <c r="C36" s="157"/>
      <c r="D36" s="157"/>
      <c r="E36" s="169">
        <f>+F244</f>
        <v>1591.6063930136529</v>
      </c>
      <c r="F36" s="159">
        <f t="shared" si="0"/>
        <v>0.21451574895923337</v>
      </c>
    </row>
    <row r="37" spans="1:7" ht="15" customHeight="1" thickBot="1" x14ac:dyDescent="0.25">
      <c r="A37" s="170" t="s">
        <v>398</v>
      </c>
      <c r="B37" s="171"/>
      <c r="C37" s="172"/>
      <c r="D37" s="172"/>
      <c r="E37" s="173">
        <f>E19+E25+E26+E34+E35+E36</f>
        <v>7419.5316695191559</v>
      </c>
      <c r="F37" s="174">
        <f>F19+F25+F26+F34+F35+F36</f>
        <v>1</v>
      </c>
    </row>
    <row r="38" spans="1:7" ht="15" customHeight="1" x14ac:dyDescent="0.2"/>
    <row r="39" spans="1:7" ht="15" customHeight="1" thickBot="1" x14ac:dyDescent="0.25"/>
    <row r="40" spans="1:7" ht="15" customHeight="1" x14ac:dyDescent="0.2">
      <c r="A40" s="476" t="s">
        <v>88</v>
      </c>
      <c r="B40" s="477"/>
      <c r="C40" s="477"/>
      <c r="D40" s="477"/>
      <c r="E40" s="478"/>
    </row>
    <row r="41" spans="1:7" ht="15" customHeight="1" x14ac:dyDescent="0.2">
      <c r="A41" s="479" t="s">
        <v>36</v>
      </c>
      <c r="B41" s="480"/>
      <c r="C41" s="480"/>
      <c r="D41" s="480"/>
      <c r="E41" s="332" t="s">
        <v>37</v>
      </c>
    </row>
    <row r="42" spans="1:7" x14ac:dyDescent="0.2">
      <c r="A42" s="323" t="str">
        <f>+A55</f>
        <v>1.1. Coletor Turno Dia</v>
      </c>
      <c r="B42" s="195"/>
      <c r="C42" s="195"/>
      <c r="D42" s="43"/>
      <c r="E42" s="175">
        <v>2</v>
      </c>
    </row>
    <row r="43" spans="1:7" s="118" customFormat="1" ht="15.75" customHeight="1" x14ac:dyDescent="0.2">
      <c r="A43" s="323" t="str">
        <f>+A67</f>
        <v>1.2. Motorista Turno do Dia</v>
      </c>
      <c r="B43" s="195"/>
      <c r="C43" s="195"/>
      <c r="D43" s="43"/>
      <c r="E43" s="175">
        <v>1</v>
      </c>
      <c r="F43" s="145"/>
      <c r="G43" s="144"/>
    </row>
    <row r="44" spans="1:7" ht="15.75" customHeight="1" x14ac:dyDescent="0.2">
      <c r="A44" s="324" t="s">
        <v>55</v>
      </c>
      <c r="B44" s="322"/>
      <c r="C44" s="322"/>
      <c r="D44" s="43"/>
      <c r="E44" s="325">
        <f>SUM(E42:E43)</f>
        <v>3</v>
      </c>
    </row>
    <row r="45" spans="1:7" ht="13.15" customHeight="1" x14ac:dyDescent="0.2">
      <c r="A45" s="324"/>
      <c r="B45" s="322"/>
      <c r="C45" s="195"/>
      <c r="D45" s="195"/>
      <c r="E45" s="326"/>
    </row>
    <row r="46" spans="1:7" ht="11.25" customHeight="1" x14ac:dyDescent="0.2">
      <c r="A46" s="482" t="s">
        <v>53</v>
      </c>
      <c r="B46" s="483"/>
      <c r="C46" s="483"/>
      <c r="D46" s="483"/>
      <c r="E46" s="332" t="s">
        <v>37</v>
      </c>
      <c r="F46" s="109"/>
    </row>
    <row r="47" spans="1:7" ht="13.9" customHeight="1" x14ac:dyDescent="0.2">
      <c r="A47" s="405" t="str">
        <f>+A138</f>
        <v>3.1. Veículo Coletor Compactador 12 m³ (mínimo)</v>
      </c>
      <c r="B47" s="398"/>
      <c r="C47" s="398"/>
      <c r="D47" s="398"/>
      <c r="E47" s="397">
        <v>1</v>
      </c>
      <c r="F47" s="109"/>
    </row>
    <row r="48" spans="1:7" ht="13.9" customHeight="1" thickBot="1" x14ac:dyDescent="0.25">
      <c r="A48" s="403" t="s">
        <v>395</v>
      </c>
      <c r="B48" s="328"/>
      <c r="C48" s="328"/>
      <c r="D48" s="125"/>
      <c r="E48" s="177">
        <f>SUM(E47)</f>
        <v>1</v>
      </c>
      <c r="F48" s="109"/>
    </row>
    <row r="49" spans="1:6" ht="13.15" customHeight="1" x14ac:dyDescent="0.2">
      <c r="A49" s="176"/>
      <c r="B49" s="176"/>
      <c r="C49" s="176"/>
      <c r="D49" s="178"/>
      <c r="E49" s="179"/>
      <c r="F49" s="109"/>
    </row>
    <row r="50" spans="1:6" ht="16.5" thickBot="1" x14ac:dyDescent="0.25">
      <c r="A50" s="176"/>
      <c r="B50" s="176"/>
      <c r="C50" s="176"/>
      <c r="D50" s="178"/>
      <c r="E50" s="180"/>
      <c r="F50" s="109"/>
    </row>
    <row r="51" spans="1:6" ht="13.15" customHeight="1" thickBot="1" x14ac:dyDescent="0.25">
      <c r="A51" s="181" t="s">
        <v>332</v>
      </c>
      <c r="B51" s="380">
        <v>0.18179999999999999</v>
      </c>
      <c r="C51" s="412" t="s">
        <v>442</v>
      </c>
      <c r="D51" s="142"/>
      <c r="E51" s="182"/>
      <c r="F51" s="118"/>
    </row>
    <row r="52" spans="1:6" x14ac:dyDescent="0.2">
      <c r="A52" s="473"/>
      <c r="B52" s="473"/>
      <c r="C52" s="473"/>
      <c r="D52" s="473"/>
      <c r="E52" s="473"/>
      <c r="F52" s="473"/>
    </row>
    <row r="53" spans="1:6" x14ac:dyDescent="0.2">
      <c r="A53" s="481" t="s">
        <v>44</v>
      </c>
      <c r="B53" s="481"/>
      <c r="C53" s="481"/>
      <c r="D53" s="481"/>
      <c r="E53" s="481"/>
      <c r="F53" s="481"/>
    </row>
    <row r="54" spans="1:6" x14ac:dyDescent="0.2">
      <c r="A54" s="432"/>
      <c r="B54" s="432"/>
      <c r="C54" s="432"/>
      <c r="D54" s="432"/>
      <c r="E54" s="432"/>
      <c r="F54" s="432"/>
    </row>
    <row r="55" spans="1:6" ht="16.5" thickBot="1" x14ac:dyDescent="0.25">
      <c r="A55" s="471" t="s">
        <v>89</v>
      </c>
      <c r="B55" s="471"/>
      <c r="C55" s="471"/>
      <c r="D55" s="471"/>
      <c r="E55" s="471"/>
      <c r="F55" s="471"/>
    </row>
    <row r="56" spans="1:6" ht="16.5" thickBot="1" x14ac:dyDescent="0.25">
      <c r="A56" s="183" t="s">
        <v>59</v>
      </c>
      <c r="B56" s="184" t="s">
        <v>60</v>
      </c>
      <c r="C56" s="184" t="s">
        <v>37</v>
      </c>
      <c r="D56" s="185" t="s">
        <v>216</v>
      </c>
      <c r="E56" s="185" t="s">
        <v>61</v>
      </c>
      <c r="F56" s="186" t="s">
        <v>285</v>
      </c>
    </row>
    <row r="57" spans="1:6" ht="13.9" customHeight="1" x14ac:dyDescent="0.2">
      <c r="A57" s="271" t="s">
        <v>198</v>
      </c>
      <c r="B57" s="187" t="s">
        <v>6</v>
      </c>
      <c r="C57" s="187">
        <v>1</v>
      </c>
      <c r="D57" s="188">
        <v>1549.57</v>
      </c>
      <c r="E57" s="189">
        <f>C57*D57</f>
        <v>1549.57</v>
      </c>
      <c r="F57" s="272"/>
    </row>
    <row r="58" spans="1:6" ht="11.25" customHeight="1" x14ac:dyDescent="0.2">
      <c r="A58" s="41" t="s">
        <v>32</v>
      </c>
      <c r="B58" s="42" t="s">
        <v>0</v>
      </c>
      <c r="C58" s="190">
        <v>0</v>
      </c>
      <c r="D58" s="191">
        <f>D57/220*2</f>
        <v>14.087</v>
      </c>
      <c r="E58" s="191">
        <f>C58*D58</f>
        <v>0</v>
      </c>
      <c r="F58" s="272"/>
    </row>
    <row r="59" spans="1:6" x14ac:dyDescent="0.2">
      <c r="A59" s="41" t="s">
        <v>202</v>
      </c>
      <c r="B59" s="42" t="s">
        <v>31</v>
      </c>
      <c r="C59" s="178"/>
      <c r="D59" s="191">
        <f>63/302*(SUM(E58:E58))</f>
        <v>0</v>
      </c>
      <c r="E59" s="191">
        <f>D59</f>
        <v>0</v>
      </c>
      <c r="F59" s="272"/>
    </row>
    <row r="60" spans="1:6" ht="13.15" customHeight="1" x14ac:dyDescent="0.2">
      <c r="A60" s="41" t="s">
        <v>1</v>
      </c>
      <c r="B60" s="42" t="s">
        <v>2</v>
      </c>
      <c r="C60" s="42">
        <v>40</v>
      </c>
      <c r="D60" s="192">
        <f>SUM(E57:E59)</f>
        <v>1549.57</v>
      </c>
      <c r="E60" s="191">
        <f>C60*D60/100</f>
        <v>619.82799999999997</v>
      </c>
      <c r="F60" s="272"/>
    </row>
    <row r="61" spans="1:6" x14ac:dyDescent="0.2">
      <c r="A61" s="484" t="s">
        <v>287</v>
      </c>
      <c r="B61" s="485"/>
      <c r="C61" s="485"/>
      <c r="D61" s="486"/>
      <c r="E61" s="193">
        <f>SUM(E57:E60)</f>
        <v>2169.3980000000001</v>
      </c>
      <c r="F61" s="272"/>
    </row>
    <row r="62" spans="1:6" x14ac:dyDescent="0.2">
      <c r="A62" s="41" t="s">
        <v>3</v>
      </c>
      <c r="B62" s="42" t="s">
        <v>2</v>
      </c>
      <c r="C62" s="194">
        <f>'2.Encargos Sociais'!$C$34*100</f>
        <v>72.231660000000005</v>
      </c>
      <c r="D62" s="191">
        <f>E61</f>
        <v>2169.3980000000001</v>
      </c>
      <c r="E62" s="191">
        <f>D62*C62/100</f>
        <v>1566.9921874068002</v>
      </c>
      <c r="F62" s="272"/>
    </row>
    <row r="63" spans="1:6" x14ac:dyDescent="0.2">
      <c r="A63" s="484" t="s">
        <v>288</v>
      </c>
      <c r="B63" s="487"/>
      <c r="C63" s="487"/>
      <c r="D63" s="488"/>
      <c r="E63" s="193">
        <f>E61+E62</f>
        <v>3736.3901874068006</v>
      </c>
      <c r="F63" s="272"/>
    </row>
    <row r="64" spans="1:6" x14ac:dyDescent="0.2">
      <c r="A64" s="273" t="s">
        <v>4</v>
      </c>
      <c r="B64" s="274" t="s">
        <v>5</v>
      </c>
      <c r="C64" s="275">
        <v>2</v>
      </c>
      <c r="D64" s="191">
        <f>E63</f>
        <v>3736.3901874068006</v>
      </c>
      <c r="E64" s="191">
        <f>C64*D64</f>
        <v>7472.7803748136012</v>
      </c>
      <c r="F64" s="272"/>
    </row>
    <row r="65" spans="1:7" s="118" customFormat="1" ht="16.5" thickBot="1" x14ac:dyDescent="0.25">
      <c r="A65" s="468" t="s">
        <v>285</v>
      </c>
      <c r="B65" s="489"/>
      <c r="C65" s="490"/>
      <c r="D65" s="276" t="s">
        <v>286</v>
      </c>
      <c r="E65" s="382">
        <f>$B$51</f>
        <v>0.18179999999999999</v>
      </c>
      <c r="F65" s="230">
        <f>E64*E65</f>
        <v>1358.5514721411125</v>
      </c>
      <c r="G65" s="144"/>
    </row>
    <row r="66" spans="1:7" x14ac:dyDescent="0.2">
      <c r="A66" s="432"/>
      <c r="B66" s="432"/>
      <c r="C66" s="432"/>
      <c r="D66" s="432"/>
      <c r="E66" s="432"/>
      <c r="F66" s="432"/>
    </row>
    <row r="67" spans="1:7" s="118" customFormat="1" ht="16.5" thickBot="1" x14ac:dyDescent="0.25">
      <c r="A67" s="471" t="s">
        <v>360</v>
      </c>
      <c r="B67" s="471"/>
      <c r="C67" s="471"/>
      <c r="D67" s="471"/>
      <c r="E67" s="471"/>
      <c r="F67" s="471"/>
      <c r="G67" s="144"/>
    </row>
    <row r="68" spans="1:7" ht="16.5" thickBot="1" x14ac:dyDescent="0.25">
      <c r="A68" s="183" t="s">
        <v>59</v>
      </c>
      <c r="B68" s="184" t="s">
        <v>60</v>
      </c>
      <c r="C68" s="184" t="s">
        <v>37</v>
      </c>
      <c r="D68" s="185" t="s">
        <v>216</v>
      </c>
      <c r="E68" s="185" t="s">
        <v>61</v>
      </c>
      <c r="F68" s="186" t="s">
        <v>285</v>
      </c>
    </row>
    <row r="69" spans="1:7" x14ac:dyDescent="0.2">
      <c r="A69" s="271" t="s">
        <v>200</v>
      </c>
      <c r="B69" s="187" t="s">
        <v>6</v>
      </c>
      <c r="C69" s="187">
        <v>1</v>
      </c>
      <c r="D69" s="188">
        <v>1817.21</v>
      </c>
      <c r="E69" s="189">
        <f>C69*D69</f>
        <v>1817.21</v>
      </c>
      <c r="F69" s="272"/>
    </row>
    <row r="70" spans="1:7" ht="11.25" customHeight="1" x14ac:dyDescent="0.2">
      <c r="A70" s="271" t="s">
        <v>201</v>
      </c>
      <c r="B70" s="187" t="s">
        <v>6</v>
      </c>
      <c r="C70" s="187">
        <v>1</v>
      </c>
      <c r="D70" s="188">
        <v>1212</v>
      </c>
      <c r="E70" s="189"/>
      <c r="F70" s="272"/>
    </row>
    <row r="71" spans="1:7" x14ac:dyDescent="0.2">
      <c r="A71" s="41" t="s">
        <v>199</v>
      </c>
      <c r="B71" s="42"/>
      <c r="C71" s="197">
        <v>1</v>
      </c>
      <c r="D71" s="191"/>
      <c r="E71" s="191"/>
      <c r="F71" s="272"/>
      <c r="G71" s="109"/>
    </row>
    <row r="72" spans="1:7" x14ac:dyDescent="0.2">
      <c r="A72" s="41" t="s">
        <v>1</v>
      </c>
      <c r="B72" s="42" t="s">
        <v>2</v>
      </c>
      <c r="C72" s="40">
        <v>20</v>
      </c>
      <c r="D72" s="192">
        <f>IF(C71=2,SUM(E69:E70),IF(C71=1,(SUM(E69:E70))*D70/D69,0))</f>
        <v>1212</v>
      </c>
      <c r="E72" s="191">
        <f>C72*D72/100</f>
        <v>242.4</v>
      </c>
      <c r="F72" s="272"/>
      <c r="G72" s="109"/>
    </row>
    <row r="73" spans="1:7" x14ac:dyDescent="0.2">
      <c r="A73" s="484" t="s">
        <v>287</v>
      </c>
      <c r="B73" s="485"/>
      <c r="C73" s="485"/>
      <c r="D73" s="486"/>
      <c r="E73" s="198">
        <f>SUM(E69:E72)</f>
        <v>2059.61</v>
      </c>
      <c r="F73" s="278"/>
      <c r="G73" s="109"/>
    </row>
    <row r="74" spans="1:7" x14ac:dyDescent="0.2">
      <c r="A74" s="41" t="s">
        <v>3</v>
      </c>
      <c r="B74" s="42" t="s">
        <v>2</v>
      </c>
      <c r="C74" s="194">
        <f>'2.Encargos Sociais'!$C$34*100</f>
        <v>72.231660000000005</v>
      </c>
      <c r="D74" s="191">
        <f>E73</f>
        <v>2059.61</v>
      </c>
      <c r="E74" s="191">
        <f>D74*C74/100</f>
        <v>1487.6904925260003</v>
      </c>
      <c r="F74" s="272"/>
      <c r="G74" s="109"/>
    </row>
    <row r="75" spans="1:7" x14ac:dyDescent="0.2">
      <c r="A75" s="484" t="s">
        <v>289</v>
      </c>
      <c r="B75" s="485"/>
      <c r="C75" s="485"/>
      <c r="D75" s="486"/>
      <c r="E75" s="198">
        <f>E73+E74</f>
        <v>3547.3004925260002</v>
      </c>
      <c r="F75" s="278"/>
      <c r="G75" s="109"/>
    </row>
    <row r="76" spans="1:7" x14ac:dyDescent="0.2">
      <c r="A76" s="41" t="s">
        <v>4</v>
      </c>
      <c r="B76" s="42" t="s">
        <v>5</v>
      </c>
      <c r="C76" s="40">
        <v>1</v>
      </c>
      <c r="D76" s="191">
        <f>E75</f>
        <v>3547.3004925260002</v>
      </c>
      <c r="E76" s="191">
        <f>C76*D76</f>
        <v>3547.3004925260002</v>
      </c>
      <c r="F76" s="272"/>
      <c r="G76" s="109"/>
    </row>
    <row r="77" spans="1:7" ht="16.5" thickBot="1" x14ac:dyDescent="0.25">
      <c r="A77" s="468" t="s">
        <v>285</v>
      </c>
      <c r="B77" s="489"/>
      <c r="C77" s="490"/>
      <c r="D77" s="277" t="s">
        <v>286</v>
      </c>
      <c r="E77" s="382">
        <f>$B$51</f>
        <v>0.18179999999999999</v>
      </c>
      <c r="F77" s="230">
        <f>E76*E77</f>
        <v>644.89922954122676</v>
      </c>
      <c r="G77" s="109"/>
    </row>
    <row r="78" spans="1:7" ht="11.25" customHeight="1" x14ac:dyDescent="0.2">
      <c r="A78" s="432"/>
      <c r="B78" s="432"/>
      <c r="C78" s="432"/>
      <c r="D78" s="432"/>
      <c r="E78" s="432"/>
      <c r="F78" s="432"/>
      <c r="G78" s="109"/>
    </row>
    <row r="79" spans="1:7" ht="16.5" thickBot="1" x14ac:dyDescent="0.25">
      <c r="A79" s="471" t="s">
        <v>361</v>
      </c>
      <c r="B79" s="471"/>
      <c r="C79" s="471"/>
      <c r="D79" s="471"/>
      <c r="E79" s="471"/>
      <c r="F79" s="471"/>
      <c r="G79" s="109"/>
    </row>
    <row r="80" spans="1:7" ht="16.5" thickBot="1" x14ac:dyDescent="0.25">
      <c r="A80" s="183" t="s">
        <v>59</v>
      </c>
      <c r="B80" s="184" t="s">
        <v>60</v>
      </c>
      <c r="C80" s="184" t="s">
        <v>37</v>
      </c>
      <c r="D80" s="185" t="s">
        <v>216</v>
      </c>
      <c r="E80" s="185" t="s">
        <v>61</v>
      </c>
      <c r="F80" s="186" t="s">
        <v>285</v>
      </c>
      <c r="G80" s="109"/>
    </row>
    <row r="81" spans="1:7" x14ac:dyDescent="0.2">
      <c r="A81" s="41" t="s">
        <v>84</v>
      </c>
      <c r="B81" s="42" t="s">
        <v>31</v>
      </c>
      <c r="C81" s="199">
        <v>1</v>
      </c>
      <c r="D81" s="282">
        <v>3.5</v>
      </c>
      <c r="E81" s="233"/>
      <c r="F81" s="279"/>
      <c r="G81" s="109"/>
    </row>
    <row r="82" spans="1:7" x14ac:dyDescent="0.2">
      <c r="A82" s="41" t="s">
        <v>85</v>
      </c>
      <c r="B82" s="42" t="s">
        <v>86</v>
      </c>
      <c r="C82" s="283">
        <v>4</v>
      </c>
      <c r="D82" s="191"/>
      <c r="E82" s="233"/>
      <c r="F82" s="280"/>
      <c r="G82" s="109"/>
    </row>
    <row r="83" spans="1:7" x14ac:dyDescent="0.2">
      <c r="A83" s="41" t="s">
        <v>67</v>
      </c>
      <c r="B83" s="42" t="s">
        <v>7</v>
      </c>
      <c r="C83" s="200">
        <f>$C$82*2*(C64)</f>
        <v>16</v>
      </c>
      <c r="D83" s="189">
        <f>IFERROR((($C$82*2*$D$81)-(E57*0.06))/($C$82*2),"-")</f>
        <v>-8.1217749999999995</v>
      </c>
      <c r="E83" s="233">
        <f>IFERROR(C83*D83,"-")</f>
        <v>-129.94839999999999</v>
      </c>
      <c r="F83" s="280"/>
      <c r="G83" s="109"/>
    </row>
    <row r="84" spans="1:7" x14ac:dyDescent="0.2">
      <c r="A84" s="271" t="s">
        <v>41</v>
      </c>
      <c r="B84" s="187" t="s">
        <v>7</v>
      </c>
      <c r="C84" s="200">
        <f>$C$82*2*(C76)</f>
        <v>8</v>
      </c>
      <c r="D84" s="189">
        <f>IFERROR((($C$82*2*$D$81)-(E69*0.06))/($C$82*2),"-")</f>
        <v>-10.129075</v>
      </c>
      <c r="E84" s="234">
        <f>IFERROR(C84*D84,"-")</f>
        <v>-81.032600000000002</v>
      </c>
      <c r="F84" s="280"/>
      <c r="G84" s="109"/>
    </row>
    <row r="85" spans="1:7" ht="16.5" thickBot="1" x14ac:dyDescent="0.25">
      <c r="A85" s="468" t="s">
        <v>285</v>
      </c>
      <c r="B85" s="489"/>
      <c r="C85" s="489"/>
      <c r="D85" s="489"/>
      <c r="E85" s="490"/>
      <c r="F85" s="284">
        <f>SUM(E83:E84)</f>
        <v>-210.98099999999999</v>
      </c>
      <c r="G85" s="109"/>
    </row>
    <row r="86" spans="1:7" x14ac:dyDescent="0.2">
      <c r="A86" s="432"/>
      <c r="B86" s="432"/>
      <c r="C86" s="432"/>
      <c r="D86" s="432"/>
      <c r="E86" s="432"/>
      <c r="F86" s="432"/>
      <c r="G86" s="109"/>
    </row>
    <row r="87" spans="1:7" ht="16.5" thickBot="1" x14ac:dyDescent="0.25">
      <c r="A87" s="471" t="s">
        <v>362</v>
      </c>
      <c r="B87" s="471"/>
      <c r="C87" s="471"/>
      <c r="D87" s="471"/>
      <c r="E87" s="471"/>
      <c r="F87" s="471"/>
      <c r="G87" s="109"/>
    </row>
    <row r="88" spans="1:7" ht="16.5" thickBot="1" x14ac:dyDescent="0.25">
      <c r="A88" s="183" t="s">
        <v>59</v>
      </c>
      <c r="B88" s="184" t="s">
        <v>60</v>
      </c>
      <c r="C88" s="184" t="s">
        <v>37</v>
      </c>
      <c r="D88" s="185" t="s">
        <v>216</v>
      </c>
      <c r="E88" s="185" t="s">
        <v>61</v>
      </c>
      <c r="F88" s="186" t="s">
        <v>285</v>
      </c>
      <c r="G88" s="109"/>
    </row>
    <row r="89" spans="1:7" x14ac:dyDescent="0.2">
      <c r="A89" s="41" t="str">
        <f>+A83</f>
        <v>Coletor</v>
      </c>
      <c r="B89" s="42" t="s">
        <v>8</v>
      </c>
      <c r="C89" s="201">
        <f>C82*(E42)</f>
        <v>8</v>
      </c>
      <c r="D89" s="202">
        <v>20.18</v>
      </c>
      <c r="E89" s="235">
        <f>C89*D89</f>
        <v>161.44</v>
      </c>
      <c r="F89" s="285"/>
      <c r="G89" s="109"/>
    </row>
    <row r="90" spans="1:7" x14ac:dyDescent="0.2">
      <c r="A90" s="41" t="str">
        <f>+A84</f>
        <v>Motorista</v>
      </c>
      <c r="B90" s="274" t="s">
        <v>8</v>
      </c>
      <c r="C90" s="384">
        <f>C82*(E43)</f>
        <v>4</v>
      </c>
      <c r="D90" s="385">
        <v>12.81</v>
      </c>
      <c r="E90" s="386">
        <f>C90*D90</f>
        <v>51.24</v>
      </c>
      <c r="F90" s="281"/>
      <c r="G90" s="109"/>
    </row>
    <row r="91" spans="1:7" x14ac:dyDescent="0.2">
      <c r="A91" s="41" t="s">
        <v>4</v>
      </c>
      <c r="B91" s="389"/>
      <c r="C91" s="389"/>
      <c r="D91" s="389"/>
      <c r="E91" s="390">
        <f>SUM(E89:E90)</f>
        <v>212.68</v>
      </c>
      <c r="F91" s="391"/>
      <c r="G91" s="109"/>
    </row>
    <row r="92" spans="1:7" ht="16.5" thickBot="1" x14ac:dyDescent="0.25">
      <c r="A92" s="468" t="s">
        <v>285</v>
      </c>
      <c r="B92" s="469"/>
      <c r="C92" s="470"/>
      <c r="D92" s="387" t="s">
        <v>286</v>
      </c>
      <c r="E92" s="388">
        <f>$B$51</f>
        <v>0.18179999999999999</v>
      </c>
      <c r="F92" s="230">
        <f>E91*E92</f>
        <v>38.665224000000002</v>
      </c>
      <c r="G92" s="109"/>
    </row>
    <row r="93" spans="1:7" x14ac:dyDescent="0.2">
      <c r="A93" s="432"/>
      <c r="B93" s="432"/>
      <c r="C93" s="432"/>
      <c r="D93" s="432"/>
      <c r="E93" s="432"/>
      <c r="F93" s="432"/>
    </row>
    <row r="94" spans="1:7" ht="16.5" thickBot="1" x14ac:dyDescent="0.25">
      <c r="A94" s="471" t="s">
        <v>363</v>
      </c>
      <c r="B94" s="471"/>
      <c r="C94" s="471"/>
      <c r="D94" s="471"/>
      <c r="E94" s="471"/>
      <c r="F94" s="471"/>
      <c r="G94" s="109"/>
    </row>
    <row r="95" spans="1:7" ht="11.25" customHeight="1" thickBot="1" x14ac:dyDescent="0.25">
      <c r="A95" s="183" t="s">
        <v>59</v>
      </c>
      <c r="B95" s="184" t="s">
        <v>60</v>
      </c>
      <c r="C95" s="184" t="s">
        <v>37</v>
      </c>
      <c r="D95" s="185" t="s">
        <v>216</v>
      </c>
      <c r="E95" s="185" t="s">
        <v>61</v>
      </c>
      <c r="F95" s="186" t="s">
        <v>285</v>
      </c>
      <c r="G95" s="109"/>
    </row>
    <row r="96" spans="1:7" ht="13.9" customHeight="1" x14ac:dyDescent="0.2">
      <c r="A96" s="41" t="str">
        <f>+A89</f>
        <v>Coletor</v>
      </c>
      <c r="B96" s="42" t="s">
        <v>8</v>
      </c>
      <c r="C96" s="201">
        <f>E42</f>
        <v>2</v>
      </c>
      <c r="D96" s="202">
        <v>0</v>
      </c>
      <c r="E96" s="235">
        <f>C96*D96</f>
        <v>0</v>
      </c>
      <c r="F96" s="285"/>
      <c r="G96" s="109"/>
    </row>
    <row r="97" spans="1:7" ht="11.25" customHeight="1" x14ac:dyDescent="0.2">
      <c r="A97" s="41" t="str">
        <f>+A90</f>
        <v>Motorista</v>
      </c>
      <c r="B97" s="42" t="s">
        <v>8</v>
      </c>
      <c r="C97" s="201">
        <f>E43</f>
        <v>1</v>
      </c>
      <c r="D97" s="202">
        <v>97.24</v>
      </c>
      <c r="E97" s="235">
        <f>C97*D97</f>
        <v>97.24</v>
      </c>
      <c r="F97" s="281"/>
      <c r="G97" s="109"/>
    </row>
    <row r="98" spans="1:7" ht="27.75" customHeight="1" thickBot="1" x14ac:dyDescent="0.25">
      <c r="A98" s="495" t="s">
        <v>285</v>
      </c>
      <c r="B98" s="469"/>
      <c r="C98" s="470"/>
      <c r="D98" s="277" t="s">
        <v>286</v>
      </c>
      <c r="E98" s="383">
        <f>$B$51</f>
        <v>0.18179999999999999</v>
      </c>
      <c r="F98" s="284">
        <f>SUM(E96:E97)*E98</f>
        <v>17.678231999999998</v>
      </c>
      <c r="G98" s="109"/>
    </row>
    <row r="99" spans="1:7" ht="16.5" thickBot="1" x14ac:dyDescent="0.25">
      <c r="G99" s="109"/>
    </row>
    <row r="100" spans="1:7" ht="13.15" customHeight="1" thickBot="1" x14ac:dyDescent="0.25">
      <c r="A100" s="236" t="s">
        <v>290</v>
      </c>
      <c r="B100" s="237"/>
      <c r="C100" s="237"/>
      <c r="D100" s="172"/>
      <c r="E100" s="172"/>
      <c r="F100" s="238">
        <f>F98+F92+F85+F77+F65</f>
        <v>1848.8131576823394</v>
      </c>
      <c r="G100" s="109"/>
    </row>
    <row r="101" spans="1:7" x14ac:dyDescent="0.2">
      <c r="A101" s="494"/>
      <c r="B101" s="494"/>
      <c r="C101" s="494"/>
      <c r="D101" s="494"/>
      <c r="E101" s="494"/>
      <c r="F101" s="494"/>
      <c r="G101" s="109"/>
    </row>
    <row r="102" spans="1:7" ht="13.15" customHeight="1" x14ac:dyDescent="0.2">
      <c r="A102" s="481" t="s">
        <v>42</v>
      </c>
      <c r="B102" s="481"/>
      <c r="C102" s="481"/>
      <c r="D102" s="481"/>
      <c r="E102" s="481"/>
      <c r="F102" s="481"/>
      <c r="G102" s="109"/>
    </row>
    <row r="103" spans="1:7" ht="13.9" customHeight="1" x14ac:dyDescent="0.2">
      <c r="A103" s="432"/>
      <c r="B103" s="432"/>
      <c r="C103" s="432"/>
      <c r="D103" s="432"/>
      <c r="E103" s="432"/>
      <c r="F103" s="432"/>
      <c r="G103" s="109"/>
    </row>
    <row r="104" spans="1:7" ht="13.15" customHeight="1" x14ac:dyDescent="0.2">
      <c r="A104" s="491" t="s">
        <v>291</v>
      </c>
      <c r="B104" s="491"/>
      <c r="C104" s="491"/>
      <c r="D104" s="491"/>
      <c r="E104" s="491"/>
      <c r="F104" s="491"/>
    </row>
    <row r="105" spans="1:7" ht="16.5" thickBot="1" x14ac:dyDescent="0.25">
      <c r="A105" s="433"/>
      <c r="B105" s="433"/>
      <c r="C105" s="433"/>
      <c r="D105" s="433"/>
      <c r="E105" s="433"/>
      <c r="F105" s="433"/>
    </row>
    <row r="106" spans="1:7" s="27" customFormat="1" ht="32.25" thickBot="1" x14ac:dyDescent="0.3">
      <c r="A106" s="183" t="s">
        <v>59</v>
      </c>
      <c r="B106" s="184" t="s">
        <v>60</v>
      </c>
      <c r="C106" s="204" t="s">
        <v>227</v>
      </c>
      <c r="D106" s="185" t="s">
        <v>216</v>
      </c>
      <c r="E106" s="185" t="s">
        <v>61</v>
      </c>
      <c r="F106" s="186" t="s">
        <v>285</v>
      </c>
      <c r="G106" s="206"/>
    </row>
    <row r="107" spans="1:7" x14ac:dyDescent="0.2">
      <c r="A107" s="271" t="s">
        <v>62</v>
      </c>
      <c r="B107" s="187" t="s">
        <v>8</v>
      </c>
      <c r="C107" s="289">
        <v>12</v>
      </c>
      <c r="D107" s="188">
        <v>210</v>
      </c>
      <c r="E107" s="189">
        <f>IFERROR(D107/C107,0)</f>
        <v>17.5</v>
      </c>
      <c r="F107" s="280"/>
    </row>
    <row r="108" spans="1:7" ht="13.15" customHeight="1" x14ac:dyDescent="0.2">
      <c r="A108" s="41" t="s">
        <v>27</v>
      </c>
      <c r="B108" s="42" t="s">
        <v>8</v>
      </c>
      <c r="C108" s="205">
        <v>3</v>
      </c>
      <c r="D108" s="188">
        <v>48</v>
      </c>
      <c r="E108" s="189">
        <f t="shared" ref="E108:E116" si="1">IFERROR(D108/C108,0)</f>
        <v>16</v>
      </c>
      <c r="F108" s="280"/>
    </row>
    <row r="109" spans="1:7" x14ac:dyDescent="0.2">
      <c r="A109" s="41" t="s">
        <v>28</v>
      </c>
      <c r="B109" s="42" t="s">
        <v>8</v>
      </c>
      <c r="C109" s="205">
        <v>3</v>
      </c>
      <c r="D109" s="188">
        <v>32.5</v>
      </c>
      <c r="E109" s="189">
        <f t="shared" si="1"/>
        <v>10.833333333333334</v>
      </c>
      <c r="F109" s="280"/>
    </row>
    <row r="110" spans="1:7" x14ac:dyDescent="0.2">
      <c r="A110" s="41" t="s">
        <v>29</v>
      </c>
      <c r="B110" s="42" t="s">
        <v>8</v>
      </c>
      <c r="C110" s="205">
        <v>3</v>
      </c>
      <c r="D110" s="188">
        <v>25.6</v>
      </c>
      <c r="E110" s="189">
        <f t="shared" si="1"/>
        <v>8.5333333333333332</v>
      </c>
      <c r="F110" s="280"/>
    </row>
    <row r="111" spans="1:7" x14ac:dyDescent="0.2">
      <c r="A111" s="41" t="s">
        <v>64</v>
      </c>
      <c r="B111" s="42" t="s">
        <v>45</v>
      </c>
      <c r="C111" s="205">
        <v>3</v>
      </c>
      <c r="D111" s="188">
        <v>54</v>
      </c>
      <c r="E111" s="189">
        <f t="shared" si="1"/>
        <v>18</v>
      </c>
      <c r="F111" s="280"/>
    </row>
    <row r="112" spans="1:7" ht="11.25" customHeight="1" x14ac:dyDescent="0.2">
      <c r="A112" s="41" t="s">
        <v>87</v>
      </c>
      <c r="B112" s="42" t="s">
        <v>45</v>
      </c>
      <c r="C112" s="205">
        <v>3</v>
      </c>
      <c r="D112" s="188">
        <v>16.8</v>
      </c>
      <c r="E112" s="189">
        <f t="shared" si="1"/>
        <v>5.6000000000000005</v>
      </c>
      <c r="F112" s="280"/>
    </row>
    <row r="113" spans="1:7" ht="13.9" customHeight="1" x14ac:dyDescent="0.2">
      <c r="A113" s="41" t="s">
        <v>63</v>
      </c>
      <c r="B113" s="42" t="s">
        <v>8</v>
      </c>
      <c r="C113" s="205">
        <v>6</v>
      </c>
      <c r="D113" s="188">
        <v>32.5</v>
      </c>
      <c r="E113" s="189">
        <f t="shared" si="1"/>
        <v>5.416666666666667</v>
      </c>
      <c r="F113" s="280"/>
    </row>
    <row r="114" spans="1:7" ht="11.25" customHeight="1" x14ac:dyDescent="0.25">
      <c r="A114" s="287" t="s">
        <v>9</v>
      </c>
      <c r="B114" s="36" t="s">
        <v>8</v>
      </c>
      <c r="C114" s="205">
        <v>6</v>
      </c>
      <c r="D114" s="188">
        <v>28.9</v>
      </c>
      <c r="E114" s="189">
        <f t="shared" si="1"/>
        <v>4.8166666666666664</v>
      </c>
      <c r="F114" s="290"/>
    </row>
    <row r="115" spans="1:7" x14ac:dyDescent="0.2">
      <c r="A115" s="41" t="s">
        <v>30</v>
      </c>
      <c r="B115" s="42" t="s">
        <v>45</v>
      </c>
      <c r="C115" s="205">
        <v>1</v>
      </c>
      <c r="D115" s="188">
        <v>13.5</v>
      </c>
      <c r="E115" s="189">
        <f t="shared" si="1"/>
        <v>13.5</v>
      </c>
      <c r="F115" s="280"/>
    </row>
    <row r="116" spans="1:7" x14ac:dyDescent="0.2">
      <c r="A116" s="41" t="s">
        <v>58</v>
      </c>
      <c r="B116" s="42" t="s">
        <v>46</v>
      </c>
      <c r="C116" s="205">
        <v>2</v>
      </c>
      <c r="D116" s="188">
        <v>25.4</v>
      </c>
      <c r="E116" s="189">
        <f t="shared" si="1"/>
        <v>12.7</v>
      </c>
      <c r="F116" s="280"/>
    </row>
    <row r="117" spans="1:7" x14ac:dyDescent="0.2">
      <c r="A117" s="41" t="s">
        <v>185</v>
      </c>
      <c r="B117" s="42" t="s">
        <v>113</v>
      </c>
      <c r="C117" s="207">
        <v>1</v>
      </c>
      <c r="D117" s="188">
        <v>60</v>
      </c>
      <c r="E117" s="191">
        <f t="shared" ref="E117:E118" si="2">C117*D117</f>
        <v>60</v>
      </c>
      <c r="F117" s="280"/>
    </row>
    <row r="118" spans="1:7" x14ac:dyDescent="0.2">
      <c r="A118" s="41" t="s">
        <v>4</v>
      </c>
      <c r="B118" s="42" t="s">
        <v>5</v>
      </c>
      <c r="C118" s="208">
        <f>E42</f>
        <v>2</v>
      </c>
      <c r="D118" s="191">
        <f>+SUM(E107:E117)</f>
        <v>172.9</v>
      </c>
      <c r="E118" s="191">
        <f t="shared" si="2"/>
        <v>345.8</v>
      </c>
      <c r="F118" s="280"/>
    </row>
    <row r="119" spans="1:7" ht="16.5" thickBot="1" x14ac:dyDescent="0.25">
      <c r="A119" s="496" t="s">
        <v>314</v>
      </c>
      <c r="B119" s="463"/>
      <c r="C119" s="497"/>
      <c r="D119" s="277" t="s">
        <v>286</v>
      </c>
      <c r="E119" s="382">
        <f>$B$51</f>
        <v>0.18179999999999999</v>
      </c>
      <c r="F119" s="230">
        <f>E118*E119</f>
        <v>62.866439999999997</v>
      </c>
    </row>
    <row r="120" spans="1:7" x14ac:dyDescent="0.2">
      <c r="A120" s="432"/>
      <c r="B120" s="432"/>
      <c r="C120" s="432"/>
      <c r="D120" s="432"/>
      <c r="E120" s="432"/>
      <c r="F120" s="432"/>
      <c r="G120" s="109"/>
    </row>
    <row r="121" spans="1:7" x14ac:dyDescent="0.2">
      <c r="A121" s="491" t="s">
        <v>292</v>
      </c>
      <c r="B121" s="491"/>
      <c r="C121" s="491"/>
      <c r="D121" s="491"/>
      <c r="E121" s="491"/>
      <c r="F121" s="491"/>
      <c r="G121" s="109"/>
    </row>
    <row r="122" spans="1:7" ht="16.5" thickBot="1" x14ac:dyDescent="0.25">
      <c r="A122" s="433"/>
      <c r="B122" s="433"/>
      <c r="C122" s="433"/>
      <c r="D122" s="433"/>
      <c r="E122" s="433"/>
      <c r="F122" s="433"/>
      <c r="G122" s="109"/>
    </row>
    <row r="123" spans="1:7" ht="32.25" thickBot="1" x14ac:dyDescent="0.25">
      <c r="A123" s="183" t="s">
        <v>59</v>
      </c>
      <c r="B123" s="184" t="s">
        <v>60</v>
      </c>
      <c r="C123" s="204" t="s">
        <v>227</v>
      </c>
      <c r="D123" s="185" t="s">
        <v>216</v>
      </c>
      <c r="E123" s="185" t="s">
        <v>61</v>
      </c>
      <c r="F123" s="186" t="s">
        <v>285</v>
      </c>
      <c r="G123" s="109"/>
    </row>
    <row r="124" spans="1:7" x14ac:dyDescent="0.2">
      <c r="A124" s="271" t="s">
        <v>62</v>
      </c>
      <c r="B124" s="187" t="s">
        <v>8</v>
      </c>
      <c r="C124" s="205">
        <v>12</v>
      </c>
      <c r="D124" s="189">
        <f>+D107</f>
        <v>210</v>
      </c>
      <c r="E124" s="189">
        <f>IFERROR(D124/C124,0)</f>
        <v>17.5</v>
      </c>
      <c r="F124" s="279"/>
      <c r="G124" s="109"/>
    </row>
    <row r="125" spans="1:7" ht="11.25" customHeight="1" x14ac:dyDescent="0.2">
      <c r="A125" s="41" t="s">
        <v>27</v>
      </c>
      <c r="B125" s="42" t="s">
        <v>8</v>
      </c>
      <c r="C125" s="205">
        <v>3</v>
      </c>
      <c r="D125" s="191">
        <f>+D108</f>
        <v>48</v>
      </c>
      <c r="E125" s="189">
        <f t="shared" ref="E125:E129" si="3">IFERROR(D125/C125,0)</f>
        <v>16</v>
      </c>
      <c r="F125" s="280"/>
      <c r="G125" s="109"/>
    </row>
    <row r="126" spans="1:7" x14ac:dyDescent="0.2">
      <c r="A126" s="41" t="s">
        <v>28</v>
      </c>
      <c r="B126" s="42" t="s">
        <v>8</v>
      </c>
      <c r="C126" s="205">
        <v>3</v>
      </c>
      <c r="D126" s="191">
        <f>+D109</f>
        <v>32.5</v>
      </c>
      <c r="E126" s="189">
        <f t="shared" si="3"/>
        <v>10.833333333333334</v>
      </c>
      <c r="F126" s="280"/>
      <c r="G126" s="109"/>
    </row>
    <row r="127" spans="1:7" ht="11.25" customHeight="1" x14ac:dyDescent="0.2">
      <c r="A127" s="41" t="s">
        <v>64</v>
      </c>
      <c r="B127" s="42" t="s">
        <v>45</v>
      </c>
      <c r="C127" s="205">
        <v>3</v>
      </c>
      <c r="D127" s="191">
        <f>+D111</f>
        <v>54</v>
      </c>
      <c r="E127" s="189">
        <f t="shared" si="3"/>
        <v>18</v>
      </c>
      <c r="F127" s="280"/>
      <c r="G127" s="109"/>
    </row>
    <row r="128" spans="1:7" x14ac:dyDescent="0.2">
      <c r="A128" s="41" t="s">
        <v>63</v>
      </c>
      <c r="B128" s="42" t="s">
        <v>8</v>
      </c>
      <c r="C128" s="205">
        <v>6</v>
      </c>
      <c r="D128" s="191">
        <f>+D113</f>
        <v>32.5</v>
      </c>
      <c r="E128" s="189">
        <f t="shared" si="3"/>
        <v>5.416666666666667</v>
      </c>
      <c r="F128" s="280"/>
      <c r="G128" s="109"/>
    </row>
    <row r="129" spans="1:10" ht="11.25" customHeight="1" x14ac:dyDescent="0.2">
      <c r="A129" s="41" t="s">
        <v>58</v>
      </c>
      <c r="B129" s="42" t="s">
        <v>46</v>
      </c>
      <c r="C129" s="205">
        <v>2</v>
      </c>
      <c r="D129" s="191">
        <f>+D116</f>
        <v>25.4</v>
      </c>
      <c r="E129" s="189">
        <f t="shared" si="3"/>
        <v>12.7</v>
      </c>
      <c r="F129" s="280"/>
      <c r="G129" s="109"/>
    </row>
    <row r="130" spans="1:10" x14ac:dyDescent="0.2">
      <c r="A130" s="41" t="s">
        <v>185</v>
      </c>
      <c r="B130" s="42" t="s">
        <v>113</v>
      </c>
      <c r="C130" s="207">
        <v>1</v>
      </c>
      <c r="D130" s="188">
        <v>60</v>
      </c>
      <c r="E130" s="191">
        <f t="shared" ref="E130:E131" si="4">C130*D130</f>
        <v>60</v>
      </c>
      <c r="F130" s="280"/>
      <c r="G130" s="109"/>
    </row>
    <row r="131" spans="1:10" ht="11.25" customHeight="1" x14ac:dyDescent="0.2">
      <c r="A131" s="41" t="s">
        <v>4</v>
      </c>
      <c r="B131" s="42" t="s">
        <v>5</v>
      </c>
      <c r="C131" s="208">
        <f>E43</f>
        <v>1</v>
      </c>
      <c r="D131" s="191">
        <f>+SUM(E124:E130)</f>
        <v>140.44999999999999</v>
      </c>
      <c r="E131" s="191">
        <f t="shared" si="4"/>
        <v>140.44999999999999</v>
      </c>
      <c r="F131" s="280"/>
      <c r="G131" s="109"/>
    </row>
    <row r="132" spans="1:10" ht="16.5" thickBot="1" x14ac:dyDescent="0.25">
      <c r="A132" s="496" t="s">
        <v>314</v>
      </c>
      <c r="B132" s="463"/>
      <c r="C132" s="497"/>
      <c r="D132" s="277" t="s">
        <v>286</v>
      </c>
      <c r="E132" s="382">
        <f>$B$51</f>
        <v>0.18179999999999999</v>
      </c>
      <c r="F132" s="230">
        <f>E131*E132</f>
        <v>25.533809999999995</v>
      </c>
      <c r="G132" s="109"/>
    </row>
    <row r="133" spans="1:10" ht="16.5" thickBot="1" x14ac:dyDescent="0.25">
      <c r="G133" s="109"/>
    </row>
    <row r="134" spans="1:10" ht="16.5" thickBot="1" x14ac:dyDescent="0.25">
      <c r="A134" s="236" t="s">
        <v>186</v>
      </c>
      <c r="B134" s="291"/>
      <c r="C134" s="291"/>
      <c r="D134" s="292"/>
      <c r="E134" s="292"/>
      <c r="F134" s="196">
        <f>+F119+F132</f>
        <v>88.40025</v>
      </c>
      <c r="G134" s="109"/>
    </row>
    <row r="135" spans="1:10" x14ac:dyDescent="0.2">
      <c r="G135" s="109"/>
    </row>
    <row r="136" spans="1:10" x14ac:dyDescent="0.2">
      <c r="A136" s="118" t="s">
        <v>51</v>
      </c>
      <c r="I136" s="210"/>
      <c r="J136" s="210"/>
    </row>
    <row r="137" spans="1:10" x14ac:dyDescent="0.2">
      <c r="B137" s="209"/>
    </row>
    <row r="138" spans="1:10" x14ac:dyDescent="0.2">
      <c r="A138" s="231" t="s">
        <v>359</v>
      </c>
    </row>
    <row r="139" spans="1:10" x14ac:dyDescent="0.2">
      <c r="G139" s="109"/>
    </row>
    <row r="140" spans="1:10" ht="16.5" thickBot="1" x14ac:dyDescent="0.25">
      <c r="A140" s="240" t="s">
        <v>43</v>
      </c>
    </row>
    <row r="141" spans="1:10" ht="16.5" thickBot="1" x14ac:dyDescent="0.25">
      <c r="A141" s="183" t="s">
        <v>59</v>
      </c>
      <c r="B141" s="184" t="s">
        <v>60</v>
      </c>
      <c r="C141" s="184" t="s">
        <v>37</v>
      </c>
      <c r="D141" s="185" t="s">
        <v>216</v>
      </c>
      <c r="E141" s="185" t="s">
        <v>61</v>
      </c>
      <c r="F141" s="186" t="s">
        <v>285</v>
      </c>
      <c r="I141" s="210"/>
      <c r="J141" s="210"/>
    </row>
    <row r="142" spans="1:10" x14ac:dyDescent="0.2">
      <c r="A142" s="271" t="s">
        <v>98</v>
      </c>
      <c r="B142" s="187" t="s">
        <v>8</v>
      </c>
      <c r="C142" s="48">
        <v>1</v>
      </c>
      <c r="D142" s="188">
        <v>137139</v>
      </c>
      <c r="E142" s="234">
        <f>C142*D142</f>
        <v>137139</v>
      </c>
      <c r="F142" s="279"/>
    </row>
    <row r="143" spans="1:10" x14ac:dyDescent="0.2">
      <c r="A143" s="41" t="s">
        <v>92</v>
      </c>
      <c r="B143" s="42" t="s">
        <v>93</v>
      </c>
      <c r="C143" s="40">
        <v>10</v>
      </c>
      <c r="D143" s="192"/>
      <c r="E143" s="233"/>
      <c r="F143" s="280"/>
    </row>
    <row r="144" spans="1:10" x14ac:dyDescent="0.2">
      <c r="A144" s="41" t="s">
        <v>193</v>
      </c>
      <c r="B144" s="42" t="s">
        <v>93</v>
      </c>
      <c r="C144" s="40">
        <v>0</v>
      </c>
      <c r="D144" s="191"/>
      <c r="E144" s="233"/>
      <c r="F144" s="293"/>
    </row>
    <row r="145" spans="1:10" x14ac:dyDescent="0.2">
      <c r="A145" s="41" t="s">
        <v>96</v>
      </c>
      <c r="B145" s="42" t="s">
        <v>2</v>
      </c>
      <c r="C145" s="194">
        <f>IFERROR(VLOOKUP(C143,'5. Depreciação'!A3:B17,2,FALSE),0)</f>
        <v>65.180000000000007</v>
      </c>
      <c r="D145" s="191">
        <f>E142</f>
        <v>137139</v>
      </c>
      <c r="E145" s="233">
        <f>C145*D145/100</f>
        <v>89387.200200000021</v>
      </c>
      <c r="F145" s="280"/>
    </row>
    <row r="146" spans="1:10" ht="16.5" thickBot="1" x14ac:dyDescent="0.25">
      <c r="A146" s="294" t="s">
        <v>47</v>
      </c>
      <c r="B146" s="211" t="s">
        <v>6</v>
      </c>
      <c r="C146" s="211">
        <f>C143*12</f>
        <v>120</v>
      </c>
      <c r="D146" s="212">
        <f>IF(C144&lt;=C143,E145,0)</f>
        <v>89387.200200000021</v>
      </c>
      <c r="E146" s="241">
        <f>IFERROR(D146/C146,0)</f>
        <v>744.89333500000021</v>
      </c>
      <c r="F146" s="280"/>
    </row>
    <row r="147" spans="1:10" ht="11.25" customHeight="1" thickTop="1" x14ac:dyDescent="0.2">
      <c r="A147" s="271" t="s">
        <v>97</v>
      </c>
      <c r="B147" s="187" t="s">
        <v>8</v>
      </c>
      <c r="C147" s="187">
        <f>C142</f>
        <v>1</v>
      </c>
      <c r="D147" s="188">
        <v>60000</v>
      </c>
      <c r="E147" s="234">
        <f>C147*D147</f>
        <v>60000</v>
      </c>
      <c r="F147" s="280"/>
    </row>
    <row r="148" spans="1:10" x14ac:dyDescent="0.2">
      <c r="A148" s="41" t="s">
        <v>94</v>
      </c>
      <c r="B148" s="42" t="s">
        <v>93</v>
      </c>
      <c r="C148" s="40">
        <v>10</v>
      </c>
      <c r="D148" s="191"/>
      <c r="E148" s="233"/>
      <c r="F148" s="280"/>
    </row>
    <row r="149" spans="1:10" x14ac:dyDescent="0.2">
      <c r="A149" s="41" t="s">
        <v>194</v>
      </c>
      <c r="B149" s="42" t="s">
        <v>93</v>
      </c>
      <c r="C149" s="40">
        <v>0</v>
      </c>
      <c r="D149" s="191"/>
      <c r="E149" s="233"/>
      <c r="F149" s="293"/>
      <c r="I149" s="210"/>
      <c r="J149" s="210"/>
    </row>
    <row r="150" spans="1:10" x14ac:dyDescent="0.2">
      <c r="A150" s="41" t="s">
        <v>95</v>
      </c>
      <c r="B150" s="42" t="s">
        <v>2</v>
      </c>
      <c r="C150" s="213">
        <f>IFERROR(VLOOKUP(C148,'5. Depreciação'!A3:B17,2,FALSE),0)</f>
        <v>65.180000000000007</v>
      </c>
      <c r="D150" s="191">
        <f>E147</f>
        <v>60000</v>
      </c>
      <c r="E150" s="233">
        <f>C150*D150/100</f>
        <v>39108.000000000007</v>
      </c>
      <c r="F150" s="280"/>
      <c r="I150" s="210"/>
      <c r="J150" s="210"/>
    </row>
    <row r="151" spans="1:10" x14ac:dyDescent="0.2">
      <c r="A151" s="295" t="s">
        <v>99</v>
      </c>
      <c r="B151" s="134" t="s">
        <v>6</v>
      </c>
      <c r="C151" s="134">
        <f>C148*12</f>
        <v>120</v>
      </c>
      <c r="D151" s="198">
        <f>IF(C149&lt;=C148,E150,0)</f>
        <v>39108.000000000007</v>
      </c>
      <c r="E151" s="242">
        <f>IFERROR(D151/C151,0)</f>
        <v>325.90000000000003</v>
      </c>
      <c r="F151" s="280"/>
      <c r="I151" s="210"/>
      <c r="J151" s="210"/>
    </row>
    <row r="152" spans="1:10" x14ac:dyDescent="0.2">
      <c r="A152" s="296" t="s">
        <v>230</v>
      </c>
      <c r="B152" s="297"/>
      <c r="C152" s="297"/>
      <c r="D152" s="298"/>
      <c r="E152" s="243">
        <f>E146+E151</f>
        <v>1070.7933350000003</v>
      </c>
      <c r="F152" s="280"/>
      <c r="I152" s="210"/>
      <c r="J152" s="210"/>
    </row>
    <row r="153" spans="1:10" x14ac:dyDescent="0.2">
      <c r="A153" s="295" t="s">
        <v>231</v>
      </c>
      <c r="B153" s="134" t="s">
        <v>8</v>
      </c>
      <c r="C153" s="40">
        <v>1</v>
      </c>
      <c r="D153" s="198">
        <f>E152</f>
        <v>1070.7933350000003</v>
      </c>
      <c r="E153" s="243">
        <f>C153*D153</f>
        <v>1070.7933350000003</v>
      </c>
      <c r="F153" s="280"/>
      <c r="I153" s="210"/>
      <c r="J153" s="210"/>
    </row>
    <row r="154" spans="1:10" ht="16.5" thickBot="1" x14ac:dyDescent="0.25">
      <c r="A154" s="498" t="str">
        <f>F141</f>
        <v>Total (R$)</v>
      </c>
      <c r="B154" s="499"/>
      <c r="C154" s="500"/>
      <c r="D154" s="277" t="s">
        <v>286</v>
      </c>
      <c r="E154" s="383">
        <f>$B$51</f>
        <v>0.18179999999999999</v>
      </c>
      <c r="F154" s="230">
        <f>(E153*E154)*1.08</f>
        <v>210.24384656724007</v>
      </c>
      <c r="I154" s="210"/>
      <c r="J154" s="210"/>
    </row>
    <row r="155" spans="1:10" x14ac:dyDescent="0.2">
      <c r="I155" s="210"/>
      <c r="J155" s="210"/>
    </row>
    <row r="156" spans="1:10" ht="16.5" thickBot="1" x14ac:dyDescent="0.25">
      <c r="A156" s="240" t="s">
        <v>102</v>
      </c>
      <c r="I156" s="210"/>
      <c r="J156" s="210"/>
    </row>
    <row r="157" spans="1:10" ht="16.5" thickBot="1" x14ac:dyDescent="0.25">
      <c r="A157" s="183" t="s">
        <v>59</v>
      </c>
      <c r="B157" s="184" t="s">
        <v>60</v>
      </c>
      <c r="C157" s="184" t="s">
        <v>37</v>
      </c>
      <c r="D157" s="185" t="s">
        <v>216</v>
      </c>
      <c r="E157" s="185" t="s">
        <v>61</v>
      </c>
      <c r="F157" s="186" t="s">
        <v>285</v>
      </c>
      <c r="I157" s="210"/>
      <c r="J157" s="210"/>
    </row>
    <row r="158" spans="1:10" x14ac:dyDescent="0.2">
      <c r="A158" s="271" t="s">
        <v>100</v>
      </c>
      <c r="B158" s="187" t="s">
        <v>8</v>
      </c>
      <c r="C158" s="48">
        <v>1</v>
      </c>
      <c r="D158" s="189">
        <f>D142</f>
        <v>137139</v>
      </c>
      <c r="E158" s="234">
        <f>C158*D158</f>
        <v>137139</v>
      </c>
      <c r="F158" s="299"/>
      <c r="I158" s="210"/>
      <c r="J158" s="210"/>
    </row>
    <row r="159" spans="1:10" x14ac:dyDescent="0.2">
      <c r="A159" s="41" t="s">
        <v>197</v>
      </c>
      <c r="B159" s="42" t="s">
        <v>2</v>
      </c>
      <c r="C159" s="40">
        <v>10.75</v>
      </c>
      <c r="D159" s="191"/>
      <c r="E159" s="233"/>
      <c r="F159" s="293"/>
      <c r="I159" s="210"/>
      <c r="J159" s="210"/>
    </row>
    <row r="160" spans="1:10" x14ac:dyDescent="0.2">
      <c r="A160" s="41" t="s">
        <v>195</v>
      </c>
      <c r="B160" s="42" t="s">
        <v>31</v>
      </c>
      <c r="C160" s="214">
        <f>IFERROR(IF(C144&lt;=C143,E142-(C145/(100*C143)*C144)*E142,E142-E145),0)</f>
        <v>137139</v>
      </c>
      <c r="D160" s="191"/>
      <c r="E160" s="233"/>
      <c r="F160" s="293"/>
      <c r="I160" s="210"/>
      <c r="J160" s="210"/>
    </row>
    <row r="161" spans="1:10" x14ac:dyDescent="0.2">
      <c r="A161" s="41" t="s">
        <v>104</v>
      </c>
      <c r="B161" s="42" t="s">
        <v>31</v>
      </c>
      <c r="C161" s="192">
        <f>IFERROR(IF(C144&gt;=C143,C160,((((C160)-(E142-E145))*(((C143-C144)+1)/(2*(C143-C144))))+(E142-E145))),0)</f>
        <v>96914.759909999993</v>
      </c>
      <c r="D161" s="191"/>
      <c r="E161" s="233"/>
      <c r="F161" s="293"/>
      <c r="I161" s="210"/>
      <c r="J161" s="210"/>
    </row>
    <row r="162" spans="1:10" ht="16.5" thickBot="1" x14ac:dyDescent="0.25">
      <c r="A162" s="294" t="s">
        <v>105</v>
      </c>
      <c r="B162" s="211" t="s">
        <v>31</v>
      </c>
      <c r="C162" s="211"/>
      <c r="D162" s="215">
        <f>C159*C161/12/100</f>
        <v>868.19472419374983</v>
      </c>
      <c r="E162" s="241">
        <f>D162</f>
        <v>868.19472419374983</v>
      </c>
      <c r="F162" s="293"/>
      <c r="I162" s="210"/>
      <c r="J162" s="210"/>
    </row>
    <row r="163" spans="1:10" ht="11.25" customHeight="1" thickTop="1" x14ac:dyDescent="0.2">
      <c r="A163" s="271" t="s">
        <v>101</v>
      </c>
      <c r="B163" s="187" t="s">
        <v>8</v>
      </c>
      <c r="C163" s="187">
        <f>C147</f>
        <v>1</v>
      </c>
      <c r="D163" s="189">
        <f>D147</f>
        <v>60000</v>
      </c>
      <c r="E163" s="234">
        <f>C163*D163</f>
        <v>60000</v>
      </c>
      <c r="F163" s="293"/>
      <c r="I163" s="210"/>
      <c r="J163" s="210"/>
    </row>
    <row r="164" spans="1:10" x14ac:dyDescent="0.2">
      <c r="A164" s="41" t="s">
        <v>197</v>
      </c>
      <c r="B164" s="42" t="s">
        <v>2</v>
      </c>
      <c r="C164" s="40">
        <v>10.75</v>
      </c>
      <c r="D164" s="191"/>
      <c r="E164" s="233"/>
      <c r="F164" s="293"/>
      <c r="I164" s="210"/>
      <c r="J164" s="210"/>
    </row>
    <row r="165" spans="1:10" x14ac:dyDescent="0.2">
      <c r="A165" s="41" t="s">
        <v>196</v>
      </c>
      <c r="B165" s="42" t="s">
        <v>31</v>
      </c>
      <c r="C165" s="214">
        <f>IFERROR(IF(C149&lt;=C148,E147-(C150/(100*C148)*C149)*E147,E147-E150),0)</f>
        <v>60000</v>
      </c>
      <c r="D165" s="191"/>
      <c r="E165" s="233"/>
      <c r="F165" s="293"/>
      <c r="I165" s="210"/>
      <c r="J165" s="210"/>
    </row>
    <row r="166" spans="1:10" x14ac:dyDescent="0.2">
      <c r="A166" s="41" t="s">
        <v>106</v>
      </c>
      <c r="B166" s="42" t="s">
        <v>31</v>
      </c>
      <c r="C166" s="192">
        <f>IFERROR(IF(C149&gt;=C148,C165,((((C165)-(E147-E150))*(((C148-C149)+1)/(2*(C148-C149))))+(E147-E150))),0)</f>
        <v>42401.399999999994</v>
      </c>
      <c r="D166" s="191"/>
      <c r="E166" s="233"/>
      <c r="F166" s="293"/>
      <c r="I166" s="210"/>
      <c r="J166" s="210"/>
    </row>
    <row r="167" spans="1:10" x14ac:dyDescent="0.2">
      <c r="A167" s="295" t="s">
        <v>103</v>
      </c>
      <c r="B167" s="134" t="s">
        <v>31</v>
      </c>
      <c r="C167" s="134"/>
      <c r="D167" s="216">
        <f>C164*C166/12/100</f>
        <v>379.84587499999992</v>
      </c>
      <c r="E167" s="242">
        <f>D167</f>
        <v>379.84587499999992</v>
      </c>
      <c r="F167" s="293"/>
      <c r="I167" s="210"/>
      <c r="J167" s="210"/>
    </row>
    <row r="168" spans="1:10" x14ac:dyDescent="0.2">
      <c r="A168" s="296" t="s">
        <v>230</v>
      </c>
      <c r="B168" s="297"/>
      <c r="C168" s="297"/>
      <c r="D168" s="298"/>
      <c r="E168" s="243">
        <f>E162+E167</f>
        <v>1248.0405991937498</v>
      </c>
      <c r="F168" s="293"/>
      <c r="I168" s="210"/>
      <c r="J168" s="210"/>
    </row>
    <row r="169" spans="1:10" x14ac:dyDescent="0.2">
      <c r="A169" s="295" t="s">
        <v>231</v>
      </c>
      <c r="B169" s="134" t="s">
        <v>8</v>
      </c>
      <c r="C169" s="34">
        <v>1</v>
      </c>
      <c r="D169" s="198">
        <f>E168</f>
        <v>1248.0405991937498</v>
      </c>
      <c r="E169" s="243">
        <f>C169*D169</f>
        <v>1248.0405991937498</v>
      </c>
      <c r="F169" s="293"/>
      <c r="I169" s="210"/>
      <c r="J169" s="210"/>
    </row>
    <row r="170" spans="1:10" ht="16.5" thickBot="1" x14ac:dyDescent="0.25">
      <c r="A170" s="498" t="str">
        <f>F157</f>
        <v>Total (R$)</v>
      </c>
      <c r="B170" s="499"/>
      <c r="C170" s="500"/>
      <c r="D170" s="277" t="s">
        <v>286</v>
      </c>
      <c r="E170" s="383">
        <f>$B$51</f>
        <v>0.18179999999999999</v>
      </c>
      <c r="F170" s="230">
        <f>(E169*E170)*1.08</f>
        <v>245.04528340809762</v>
      </c>
      <c r="I170" s="210"/>
      <c r="J170" s="210"/>
    </row>
    <row r="171" spans="1:10" ht="11.25" customHeight="1" x14ac:dyDescent="0.2">
      <c r="I171" s="210"/>
      <c r="J171" s="210"/>
    </row>
    <row r="172" spans="1:10" ht="16.5" thickBot="1" x14ac:dyDescent="0.25">
      <c r="A172" s="239" t="s">
        <v>48</v>
      </c>
      <c r="I172" s="210"/>
      <c r="J172" s="210"/>
    </row>
    <row r="173" spans="1:10" ht="16.5" thickBot="1" x14ac:dyDescent="0.25">
      <c r="A173" s="183" t="s">
        <v>59</v>
      </c>
      <c r="B173" s="184" t="s">
        <v>60</v>
      </c>
      <c r="C173" s="184" t="s">
        <v>37</v>
      </c>
      <c r="D173" s="185" t="s">
        <v>216</v>
      </c>
      <c r="E173" s="185" t="s">
        <v>61</v>
      </c>
      <c r="F173" s="186" t="s">
        <v>285</v>
      </c>
      <c r="I173" s="210"/>
      <c r="J173" s="210"/>
    </row>
    <row r="174" spans="1:10" x14ac:dyDescent="0.2">
      <c r="A174" s="271" t="s">
        <v>10</v>
      </c>
      <c r="B174" s="187" t="s">
        <v>8</v>
      </c>
      <c r="C174" s="189">
        <v>1</v>
      </c>
      <c r="D174" s="189">
        <f>0.01*D142</f>
        <v>1371.39</v>
      </c>
      <c r="E174" s="189">
        <f>C174*D174</f>
        <v>1371.39</v>
      </c>
      <c r="F174" s="279"/>
      <c r="I174" s="210"/>
      <c r="J174" s="210"/>
    </row>
    <row r="175" spans="1:10" x14ac:dyDescent="0.2">
      <c r="A175" s="41" t="s">
        <v>184</v>
      </c>
      <c r="B175" s="42" t="s">
        <v>8</v>
      </c>
      <c r="C175" s="189">
        <v>1</v>
      </c>
      <c r="D175" s="217">
        <v>85.22</v>
      </c>
      <c r="E175" s="191">
        <f>C175*D175</f>
        <v>85.22</v>
      </c>
      <c r="F175" s="280"/>
      <c r="I175" s="210"/>
      <c r="J175" s="210"/>
    </row>
    <row r="176" spans="1:10" x14ac:dyDescent="0.2">
      <c r="A176" s="41" t="s">
        <v>11</v>
      </c>
      <c r="B176" s="42" t="s">
        <v>8</v>
      </c>
      <c r="C176" s="189">
        <v>1</v>
      </c>
      <c r="D176" s="217">
        <f>(D142+D147)*0.02</f>
        <v>3942.78</v>
      </c>
      <c r="E176" s="191">
        <f>C176*D176</f>
        <v>3942.78</v>
      </c>
      <c r="F176" s="300"/>
      <c r="I176" s="210"/>
      <c r="J176" s="210"/>
    </row>
    <row r="177" spans="1:10" x14ac:dyDescent="0.2">
      <c r="A177" s="295" t="s">
        <v>12</v>
      </c>
      <c r="B177" s="134" t="s">
        <v>6</v>
      </c>
      <c r="C177" s="134">
        <v>12</v>
      </c>
      <c r="D177" s="198">
        <f>SUM(E174:E176)</f>
        <v>5399.39</v>
      </c>
      <c r="E177" s="198">
        <f>D177/C177</f>
        <v>449.94916666666671</v>
      </c>
      <c r="F177" s="280"/>
      <c r="I177" s="210"/>
      <c r="J177" s="210"/>
    </row>
    <row r="178" spans="1:10" ht="16.5" thickBot="1" x14ac:dyDescent="0.25">
      <c r="A178" s="301" t="str">
        <f>F173</f>
        <v>Total (R$)</v>
      </c>
      <c r="B178" s="302"/>
      <c r="C178" s="302"/>
      <c r="D178" s="277" t="s">
        <v>286</v>
      </c>
      <c r="E178" s="382">
        <f>$B$51</f>
        <v>0.18179999999999999</v>
      </c>
      <c r="F178" s="230">
        <f>E177*E178</f>
        <v>81.800758500000001</v>
      </c>
      <c r="I178" s="210"/>
      <c r="J178" s="210"/>
    </row>
    <row r="179" spans="1:10" x14ac:dyDescent="0.2">
      <c r="G179" s="219"/>
      <c r="H179" s="220"/>
      <c r="I179" s="210"/>
      <c r="J179" s="210"/>
    </row>
    <row r="180" spans="1:10" x14ac:dyDescent="0.2">
      <c r="A180" s="239" t="s">
        <v>49</v>
      </c>
      <c r="B180" s="218"/>
      <c r="G180" s="219"/>
      <c r="H180" s="220"/>
      <c r="I180" s="210"/>
      <c r="J180" s="210"/>
    </row>
    <row r="181" spans="1:10" ht="16.5" thickBot="1" x14ac:dyDescent="0.25">
      <c r="B181" s="218"/>
      <c r="G181" s="219"/>
      <c r="H181" s="220"/>
      <c r="I181" s="210"/>
      <c r="J181" s="210"/>
    </row>
    <row r="182" spans="1:10" ht="16.5" thickBot="1" x14ac:dyDescent="0.25">
      <c r="A182" s="203" t="s">
        <v>108</v>
      </c>
      <c r="B182" s="418">
        <v>755.84</v>
      </c>
      <c r="G182" s="219"/>
      <c r="H182" s="220"/>
      <c r="I182" s="210"/>
      <c r="J182" s="210"/>
    </row>
    <row r="183" spans="1:10" ht="16.5" thickBot="1" x14ac:dyDescent="0.25">
      <c r="B183" s="218"/>
      <c r="G183" s="219"/>
      <c r="H183" s="220"/>
      <c r="I183" s="210"/>
      <c r="J183" s="210"/>
    </row>
    <row r="184" spans="1:10" ht="16.5" thickBot="1" x14ac:dyDescent="0.25">
      <c r="A184" s="183" t="s">
        <v>59</v>
      </c>
      <c r="B184" s="184" t="s">
        <v>60</v>
      </c>
      <c r="C184" s="184" t="s">
        <v>229</v>
      </c>
      <c r="D184" s="185" t="s">
        <v>216</v>
      </c>
      <c r="E184" s="185" t="s">
        <v>61</v>
      </c>
      <c r="F184" s="186" t="s">
        <v>285</v>
      </c>
      <c r="G184" s="219"/>
      <c r="H184" s="220"/>
      <c r="I184" s="210"/>
      <c r="J184" s="210"/>
    </row>
    <row r="185" spans="1:10" x14ac:dyDescent="0.2">
      <c r="A185" s="303" t="s">
        <v>13</v>
      </c>
      <c r="B185" s="245" t="s">
        <v>14</v>
      </c>
      <c r="C185" s="246">
        <v>2.2999999999999998</v>
      </c>
      <c r="D185" s="247">
        <v>6.49</v>
      </c>
      <c r="E185" s="258"/>
      <c r="F185" s="279"/>
      <c r="G185" s="219"/>
      <c r="H185" s="220"/>
      <c r="I185" s="210"/>
      <c r="J185" s="210"/>
    </row>
    <row r="186" spans="1:10" x14ac:dyDescent="0.2">
      <c r="A186" s="304" t="s">
        <v>15</v>
      </c>
      <c r="B186" s="250" t="s">
        <v>16</v>
      </c>
      <c r="C186" s="419">
        <f>SUM(B182)</f>
        <v>755.84</v>
      </c>
      <c r="D186" s="251">
        <f>IFERROR(+D185/C185,"-")</f>
        <v>2.821739130434783</v>
      </c>
      <c r="E186" s="259">
        <f>IFERROR(C186*D186,"-")</f>
        <v>2132.7833043478263</v>
      </c>
      <c r="F186" s="280"/>
      <c r="G186" s="219"/>
      <c r="H186" s="220"/>
      <c r="I186" s="210"/>
      <c r="J186" s="210"/>
    </row>
    <row r="187" spans="1:10" x14ac:dyDescent="0.2">
      <c r="A187" s="81" t="s">
        <v>217</v>
      </c>
      <c r="B187" s="255" t="s">
        <v>17</v>
      </c>
      <c r="C187" s="256">
        <v>6</v>
      </c>
      <c r="D187" s="257">
        <v>17.3</v>
      </c>
      <c r="E187" s="260"/>
      <c r="F187" s="280"/>
      <c r="G187" s="219"/>
      <c r="H187" s="220"/>
      <c r="I187" s="210"/>
      <c r="J187" s="210"/>
    </row>
    <row r="188" spans="1:10" x14ac:dyDescent="0.2">
      <c r="A188" s="80" t="s">
        <v>18</v>
      </c>
      <c r="B188" s="248" t="s">
        <v>16</v>
      </c>
      <c r="C188" s="420">
        <f>C186</f>
        <v>755.84</v>
      </c>
      <c r="D188" s="249">
        <f>+C187*D187/1000</f>
        <v>0.10380000000000002</v>
      </c>
      <c r="E188" s="261">
        <f>C188*D188</f>
        <v>78.456192000000016</v>
      </c>
      <c r="F188" s="280"/>
      <c r="I188" s="210"/>
      <c r="J188" s="210"/>
    </row>
    <row r="189" spans="1:10" ht="11.25" customHeight="1" x14ac:dyDescent="0.2">
      <c r="A189" s="305" t="s">
        <v>218</v>
      </c>
      <c r="B189" s="252" t="s">
        <v>17</v>
      </c>
      <c r="C189" s="253">
        <v>6.5</v>
      </c>
      <c r="D189" s="254">
        <v>18.8</v>
      </c>
      <c r="E189" s="262"/>
      <c r="F189" s="280"/>
      <c r="I189" s="210"/>
      <c r="J189" s="210"/>
    </row>
    <row r="190" spans="1:10" x14ac:dyDescent="0.2">
      <c r="A190" s="80" t="s">
        <v>19</v>
      </c>
      <c r="B190" s="248" t="s">
        <v>16</v>
      </c>
      <c r="C190" s="420">
        <f>C186</f>
        <v>755.84</v>
      </c>
      <c r="D190" s="249">
        <f>+C189*D189/1000</f>
        <v>0.1222</v>
      </c>
      <c r="E190" s="261">
        <f>C190*D190</f>
        <v>92.363648000000012</v>
      </c>
      <c r="F190" s="280"/>
      <c r="I190" s="210"/>
      <c r="J190" s="210"/>
    </row>
    <row r="191" spans="1:10" x14ac:dyDescent="0.2">
      <c r="A191" s="81" t="s">
        <v>219</v>
      </c>
      <c r="B191" s="255" t="s">
        <v>17</v>
      </c>
      <c r="C191" s="256">
        <v>10</v>
      </c>
      <c r="D191" s="257">
        <v>17.75</v>
      </c>
      <c r="E191" s="260"/>
      <c r="F191" s="280"/>
      <c r="I191" s="210"/>
      <c r="J191" s="210"/>
    </row>
    <row r="192" spans="1:10" x14ac:dyDescent="0.2">
      <c r="A192" s="80" t="s">
        <v>20</v>
      </c>
      <c r="B192" s="248" t="s">
        <v>16</v>
      </c>
      <c r="C192" s="420">
        <f>C186</f>
        <v>755.84</v>
      </c>
      <c r="D192" s="249">
        <f>+C191*D191/1000</f>
        <v>0.17749999999999999</v>
      </c>
      <c r="E192" s="261">
        <f>C192*D192</f>
        <v>134.16159999999999</v>
      </c>
      <c r="F192" s="280"/>
      <c r="I192" s="210"/>
      <c r="J192" s="210"/>
    </row>
    <row r="193" spans="1:10" x14ac:dyDescent="0.2">
      <c r="A193" s="81" t="s">
        <v>21</v>
      </c>
      <c r="B193" s="255" t="s">
        <v>22</v>
      </c>
      <c r="C193" s="256">
        <v>2</v>
      </c>
      <c r="D193" s="257">
        <v>16.2</v>
      </c>
      <c r="E193" s="260"/>
      <c r="F193" s="280"/>
      <c r="I193" s="210"/>
      <c r="J193" s="210"/>
    </row>
    <row r="194" spans="1:10" ht="11.25" customHeight="1" x14ac:dyDescent="0.2">
      <c r="A194" s="80" t="s">
        <v>23</v>
      </c>
      <c r="B194" s="248" t="s">
        <v>16</v>
      </c>
      <c r="C194" s="420">
        <f>C186</f>
        <v>755.84</v>
      </c>
      <c r="D194" s="249">
        <f>+C193*D193/1000</f>
        <v>3.2399999999999998E-2</v>
      </c>
      <c r="E194" s="261">
        <f>C194*D194</f>
        <v>24.489215999999999</v>
      </c>
      <c r="F194" s="280"/>
      <c r="I194" s="210"/>
      <c r="J194" s="210"/>
    </row>
    <row r="195" spans="1:10" x14ac:dyDescent="0.2">
      <c r="A195" s="295" t="s">
        <v>228</v>
      </c>
      <c r="B195" s="134" t="s">
        <v>109</v>
      </c>
      <c r="C195" s="221"/>
      <c r="D195" s="222">
        <f>IFERROR(D186+D188+D190+D192+D194,0)</f>
        <v>3.2576391304347831</v>
      </c>
      <c r="E195" s="233"/>
      <c r="F195" s="280"/>
      <c r="I195" s="210"/>
      <c r="J195" s="210"/>
    </row>
    <row r="196" spans="1:10" ht="16.5" thickBot="1" x14ac:dyDescent="0.25">
      <c r="A196" s="460" t="str">
        <f>F184</f>
        <v>Total (R$)</v>
      </c>
      <c r="B196" s="461"/>
      <c r="C196" s="461"/>
      <c r="D196" s="461"/>
      <c r="E196" s="462"/>
      <c r="F196" s="230">
        <f>SUM(E185:E194)</f>
        <v>2462.2539603478263</v>
      </c>
      <c r="I196" s="210"/>
      <c r="J196" s="210"/>
    </row>
    <row r="197" spans="1:10" x14ac:dyDescent="0.2">
      <c r="I197" s="210"/>
      <c r="J197" s="210"/>
    </row>
    <row r="198" spans="1:10" ht="16.5" thickBot="1" x14ac:dyDescent="0.25">
      <c r="A198" s="239" t="s">
        <v>50</v>
      </c>
      <c r="I198" s="210"/>
      <c r="J198" s="210"/>
    </row>
    <row r="199" spans="1:10" ht="16.5" thickBot="1" x14ac:dyDescent="0.25">
      <c r="A199" s="183" t="s">
        <v>59</v>
      </c>
      <c r="B199" s="184" t="s">
        <v>60</v>
      </c>
      <c r="C199" s="184" t="s">
        <v>37</v>
      </c>
      <c r="D199" s="185" t="s">
        <v>216</v>
      </c>
      <c r="E199" s="185" t="s">
        <v>61</v>
      </c>
      <c r="F199" s="186" t="s">
        <v>285</v>
      </c>
      <c r="I199" s="210"/>
      <c r="J199" s="210"/>
    </row>
    <row r="200" spans="1:10" x14ac:dyDescent="0.2">
      <c r="A200" s="271" t="s">
        <v>107</v>
      </c>
      <c r="B200" s="187" t="s">
        <v>109</v>
      </c>
      <c r="C200" s="421">
        <f>C186</f>
        <v>755.84</v>
      </c>
      <c r="D200" s="188">
        <v>0.95</v>
      </c>
      <c r="E200" s="234">
        <f>C200*D200</f>
        <v>718.048</v>
      </c>
      <c r="F200" s="279"/>
      <c r="I200" s="210"/>
      <c r="J200" s="210"/>
    </row>
    <row r="201" spans="1:10" ht="16.5" thickBot="1" x14ac:dyDescent="0.25">
      <c r="A201" s="460" t="str">
        <f>F199</f>
        <v>Total (R$)</v>
      </c>
      <c r="B201" s="461"/>
      <c r="C201" s="461"/>
      <c r="D201" s="461"/>
      <c r="E201" s="462"/>
      <c r="F201" s="230">
        <f>E200</f>
        <v>718.048</v>
      </c>
      <c r="I201" s="210"/>
      <c r="J201" s="210"/>
    </row>
    <row r="202" spans="1:10" x14ac:dyDescent="0.2">
      <c r="I202" s="210"/>
      <c r="J202" s="210"/>
    </row>
    <row r="203" spans="1:10" ht="11.25" customHeight="1" thickBot="1" x14ac:dyDescent="0.25">
      <c r="A203" s="239" t="s">
        <v>57</v>
      </c>
      <c r="I203" s="210"/>
      <c r="J203" s="210"/>
    </row>
    <row r="204" spans="1:10" ht="11.25" customHeight="1" thickBot="1" x14ac:dyDescent="0.25">
      <c r="A204" s="183" t="s">
        <v>59</v>
      </c>
      <c r="B204" s="184" t="s">
        <v>60</v>
      </c>
      <c r="C204" s="184" t="s">
        <v>37</v>
      </c>
      <c r="D204" s="185" t="s">
        <v>216</v>
      </c>
      <c r="E204" s="185" t="s">
        <v>61</v>
      </c>
      <c r="F204" s="186" t="s">
        <v>285</v>
      </c>
      <c r="G204" s="109"/>
    </row>
    <row r="205" spans="1:10" x14ac:dyDescent="0.2">
      <c r="A205" s="271" t="s">
        <v>449</v>
      </c>
      <c r="B205" s="187" t="s">
        <v>8</v>
      </c>
      <c r="C205" s="223">
        <v>6</v>
      </c>
      <c r="D205" s="188">
        <v>1880</v>
      </c>
      <c r="E205" s="234">
        <f>C205*D205</f>
        <v>11280</v>
      </c>
      <c r="F205" s="279"/>
      <c r="G205" s="109"/>
    </row>
    <row r="206" spans="1:10" ht="11.25" customHeight="1" x14ac:dyDescent="0.2">
      <c r="A206" s="271" t="s">
        <v>110</v>
      </c>
      <c r="B206" s="187" t="s">
        <v>8</v>
      </c>
      <c r="C206" s="223">
        <v>1</v>
      </c>
      <c r="D206" s="224"/>
      <c r="E206" s="234"/>
      <c r="F206" s="280"/>
      <c r="G206" s="109"/>
    </row>
    <row r="207" spans="1:10" x14ac:dyDescent="0.2">
      <c r="A207" s="271" t="s">
        <v>65</v>
      </c>
      <c r="B207" s="187" t="s">
        <v>8</v>
      </c>
      <c r="C207" s="189">
        <f>C205*C206</f>
        <v>6</v>
      </c>
      <c r="D207" s="188">
        <v>660</v>
      </c>
      <c r="E207" s="234">
        <f>C207*D207</f>
        <v>3960</v>
      </c>
      <c r="F207" s="280"/>
      <c r="G207" s="109"/>
    </row>
    <row r="208" spans="1:10" ht="11.25" customHeight="1" x14ac:dyDescent="0.2">
      <c r="A208" s="41" t="s">
        <v>293</v>
      </c>
      <c r="B208" s="42" t="s">
        <v>24</v>
      </c>
      <c r="C208" s="225">
        <v>80000</v>
      </c>
      <c r="D208" s="191">
        <f>E205+E207</f>
        <v>15240</v>
      </c>
      <c r="E208" s="233">
        <f>IFERROR(D208/C208,"-")</f>
        <v>0.1905</v>
      </c>
      <c r="F208" s="280"/>
      <c r="G208" s="109"/>
    </row>
    <row r="209" spans="1:7" x14ac:dyDescent="0.2">
      <c r="A209" s="41" t="s">
        <v>52</v>
      </c>
      <c r="B209" s="42" t="s">
        <v>16</v>
      </c>
      <c r="C209" s="421">
        <f>B182</f>
        <v>755.84</v>
      </c>
      <c r="D209" s="191">
        <f>E208</f>
        <v>0.1905</v>
      </c>
      <c r="E209" s="233">
        <f>IFERROR(C209*D209,0)</f>
        <v>143.98752000000002</v>
      </c>
      <c r="F209" s="280"/>
      <c r="G209" s="109"/>
    </row>
    <row r="210" spans="1:7" ht="16.5" thickBot="1" x14ac:dyDescent="0.25">
      <c r="A210" s="460" t="str">
        <f>F204</f>
        <v>Total (R$)</v>
      </c>
      <c r="B210" s="461"/>
      <c r="C210" s="461"/>
      <c r="D210" s="461"/>
      <c r="E210" s="462"/>
      <c r="F210" s="230">
        <f>E209</f>
        <v>143.98752000000002</v>
      </c>
      <c r="G210" s="109"/>
    </row>
    <row r="211" spans="1:7" x14ac:dyDescent="0.2">
      <c r="G211" s="109"/>
    </row>
    <row r="212" spans="1:7" ht="16.5" thickBot="1" x14ac:dyDescent="0.25">
      <c r="G212" s="109"/>
    </row>
    <row r="213" spans="1:7" ht="16.5" thickBot="1" x14ac:dyDescent="0.25">
      <c r="A213" s="236" t="s">
        <v>208</v>
      </c>
      <c r="B213" s="237"/>
      <c r="C213" s="237"/>
      <c r="D213" s="172"/>
      <c r="E213" s="172"/>
      <c r="F213" s="232">
        <f>+SUM(F142:F212)</f>
        <v>3861.379368823164</v>
      </c>
      <c r="G213" s="109"/>
    </row>
    <row r="214" spans="1:7" ht="11.25" customHeight="1" x14ac:dyDescent="0.2">
      <c r="G214" s="109"/>
    </row>
    <row r="215" spans="1:7" x14ac:dyDescent="0.2">
      <c r="A215" s="142" t="s">
        <v>68</v>
      </c>
      <c r="B215" s="142"/>
      <c r="C215" s="142"/>
      <c r="D215" s="143"/>
      <c r="E215" s="143"/>
      <c r="F215" s="226"/>
      <c r="G215" s="109"/>
    </row>
    <row r="216" spans="1:7" ht="11.25" customHeight="1" thickBot="1" x14ac:dyDescent="0.25">
      <c r="G216" s="109"/>
    </row>
    <row r="217" spans="1:7" ht="16.5" thickBot="1" x14ac:dyDescent="0.25">
      <c r="A217" s="183" t="s">
        <v>59</v>
      </c>
      <c r="B217" s="184" t="s">
        <v>60</v>
      </c>
      <c r="C217" s="184" t="s">
        <v>37</v>
      </c>
      <c r="D217" s="185" t="s">
        <v>216</v>
      </c>
      <c r="E217" s="185" t="s">
        <v>61</v>
      </c>
      <c r="F217" s="186" t="s">
        <v>285</v>
      </c>
    </row>
    <row r="218" spans="1:7" ht="11.25" customHeight="1" x14ac:dyDescent="0.2">
      <c r="A218" s="41" t="s">
        <v>66</v>
      </c>
      <c r="B218" s="42" t="s">
        <v>8</v>
      </c>
      <c r="C218" s="205">
        <v>0.16666666666666666</v>
      </c>
      <c r="D218" s="188">
        <v>33.85</v>
      </c>
      <c r="E218" s="233">
        <f>C218*D218</f>
        <v>5.6416666666666666</v>
      </c>
      <c r="F218" s="299"/>
    </row>
    <row r="219" spans="1:7" x14ac:dyDescent="0.2">
      <c r="A219" s="41" t="s">
        <v>25</v>
      </c>
      <c r="B219" s="42" t="s">
        <v>8</v>
      </c>
      <c r="C219" s="205">
        <v>0.16666666666666666</v>
      </c>
      <c r="D219" s="188">
        <v>34.19</v>
      </c>
      <c r="E219" s="233">
        <f>C219*D219</f>
        <v>5.6983333333333324</v>
      </c>
      <c r="F219" s="293"/>
    </row>
    <row r="220" spans="1:7" x14ac:dyDescent="0.2">
      <c r="A220" s="41" t="s">
        <v>26</v>
      </c>
      <c r="B220" s="42" t="s">
        <v>8</v>
      </c>
      <c r="C220" s="205">
        <v>0.16666666666666666</v>
      </c>
      <c r="D220" s="188">
        <v>21.6</v>
      </c>
      <c r="E220" s="233">
        <f>C220*D220</f>
        <v>3.6</v>
      </c>
      <c r="F220" s="293"/>
    </row>
    <row r="221" spans="1:7" ht="16.5" thickBot="1" x14ac:dyDescent="0.25">
      <c r="A221" s="460" t="str">
        <f>F217</f>
        <v>Total (R$)</v>
      </c>
      <c r="B221" s="461"/>
      <c r="C221" s="461"/>
      <c r="D221" s="461"/>
      <c r="E221" s="462"/>
      <c r="F221" s="230">
        <f>SUM(E218:E220)</f>
        <v>14.94</v>
      </c>
    </row>
    <row r="222" spans="1:7" ht="16.5" thickBot="1" x14ac:dyDescent="0.25"/>
    <row r="223" spans="1:7" ht="16.5" thickBot="1" x14ac:dyDescent="0.25">
      <c r="A223" s="492" t="s">
        <v>209</v>
      </c>
      <c r="B223" s="493"/>
      <c r="C223" s="493"/>
      <c r="D223" s="493"/>
      <c r="E223" s="493"/>
      <c r="F223" s="196">
        <f>+F221</f>
        <v>14.94</v>
      </c>
    </row>
    <row r="225" spans="1:7" s="229" customFormat="1" ht="11.25" customHeight="1" x14ac:dyDescent="0.2">
      <c r="A225" s="142" t="s">
        <v>69</v>
      </c>
      <c r="B225" s="142"/>
      <c r="C225" s="142"/>
      <c r="D225" s="143"/>
      <c r="E225" s="143"/>
      <c r="F225" s="226"/>
      <c r="G225" s="228"/>
    </row>
    <row r="226" spans="1:7" ht="16.5" thickBot="1" x14ac:dyDescent="0.25"/>
    <row r="227" spans="1:7" ht="11.25" customHeight="1" thickBot="1" x14ac:dyDescent="0.25">
      <c r="A227" s="183" t="s">
        <v>59</v>
      </c>
      <c r="B227" s="184" t="s">
        <v>60</v>
      </c>
      <c r="C227" s="184" t="s">
        <v>37</v>
      </c>
      <c r="D227" s="185" t="s">
        <v>216</v>
      </c>
      <c r="E227" s="185" t="s">
        <v>61</v>
      </c>
      <c r="F227" s="186" t="s">
        <v>285</v>
      </c>
    </row>
    <row r="228" spans="1:7" ht="17.25" customHeight="1" x14ac:dyDescent="0.2">
      <c r="A228" s="41" t="s">
        <v>206</v>
      </c>
      <c r="B228" s="42" t="s">
        <v>54</v>
      </c>
      <c r="C228" s="208">
        <v>1</v>
      </c>
      <c r="D228" s="217">
        <v>250</v>
      </c>
      <c r="E228" s="233">
        <f>+D228*C228</f>
        <v>250</v>
      </c>
      <c r="F228" s="299"/>
    </row>
    <row r="229" spans="1:7" ht="11.25" customHeight="1" x14ac:dyDescent="0.2">
      <c r="A229" s="41" t="s">
        <v>56</v>
      </c>
      <c r="B229" s="42" t="s">
        <v>6</v>
      </c>
      <c r="C229" s="227">
        <v>60</v>
      </c>
      <c r="D229" s="191">
        <f>SUM(E228:E228)</f>
        <v>250</v>
      </c>
      <c r="E229" s="233">
        <f>+D229/C229</f>
        <v>4.166666666666667</v>
      </c>
      <c r="F229" s="293"/>
    </row>
    <row r="230" spans="1:7" x14ac:dyDescent="0.2">
      <c r="A230" s="41" t="s">
        <v>207</v>
      </c>
      <c r="B230" s="42" t="s">
        <v>8</v>
      </c>
      <c r="C230" s="208">
        <v>1</v>
      </c>
      <c r="D230" s="217">
        <v>75</v>
      </c>
      <c r="E230" s="233">
        <f>C230*D230</f>
        <v>75</v>
      </c>
      <c r="F230" s="293"/>
    </row>
    <row r="231" spans="1:7" ht="11.25" customHeight="1" x14ac:dyDescent="0.2">
      <c r="A231" s="41" t="s">
        <v>34</v>
      </c>
      <c r="B231" s="42" t="s">
        <v>6</v>
      </c>
      <c r="C231" s="227">
        <v>1</v>
      </c>
      <c r="D231" s="191">
        <f>+E230</f>
        <v>75</v>
      </c>
      <c r="E231" s="233">
        <f>+D231/C231</f>
        <v>75</v>
      </c>
      <c r="F231" s="293"/>
    </row>
    <row r="232" spans="1:7" ht="16.5" thickBot="1" x14ac:dyDescent="0.25">
      <c r="A232" s="460" t="str">
        <f>F227</f>
        <v>Total (R$)</v>
      </c>
      <c r="B232" s="463"/>
      <c r="C232" s="306"/>
      <c r="D232" s="277" t="s">
        <v>286</v>
      </c>
      <c r="E232" s="383">
        <f>$B$51</f>
        <v>0.18179999999999999</v>
      </c>
      <c r="F232" s="307">
        <f>(E229+E231)*E232</f>
        <v>14.3925</v>
      </c>
    </row>
    <row r="233" spans="1:7" ht="16.5" thickBot="1" x14ac:dyDescent="0.25"/>
    <row r="234" spans="1:7" ht="16.5" thickBot="1" x14ac:dyDescent="0.25">
      <c r="A234" s="236" t="s">
        <v>205</v>
      </c>
      <c r="B234" s="237"/>
      <c r="C234" s="237"/>
      <c r="D234" s="172"/>
      <c r="E234" s="172"/>
      <c r="F234" s="196">
        <f>+F232</f>
        <v>14.3925</v>
      </c>
    </row>
    <row r="235" spans="1:7" ht="11.25" customHeight="1" thickBot="1" x14ac:dyDescent="0.25"/>
    <row r="236" spans="1:7" ht="16.5" thickBot="1" x14ac:dyDescent="0.25">
      <c r="A236" s="236" t="s">
        <v>210</v>
      </c>
      <c r="B236" s="291"/>
      <c r="C236" s="291"/>
      <c r="D236" s="292"/>
      <c r="E236" s="292"/>
      <c r="F236" s="238">
        <f>+F100+F134+F213+F223+F234</f>
        <v>5827.9252765055026</v>
      </c>
    </row>
    <row r="238" spans="1:7" ht="11.25" customHeight="1" x14ac:dyDescent="0.2">
      <c r="A238" s="118" t="s">
        <v>83</v>
      </c>
    </row>
    <row r="239" spans="1:7" ht="24.75" customHeight="1" thickBot="1" x14ac:dyDescent="0.25"/>
    <row r="240" spans="1:7" ht="12.6" customHeight="1" thickBot="1" x14ac:dyDescent="0.25">
      <c r="A240" s="183" t="s">
        <v>59</v>
      </c>
      <c r="B240" s="184" t="s">
        <v>60</v>
      </c>
      <c r="C240" s="184" t="s">
        <v>37</v>
      </c>
      <c r="D240" s="185" t="s">
        <v>216</v>
      </c>
      <c r="E240" s="185" t="s">
        <v>61</v>
      </c>
      <c r="F240" s="186" t="s">
        <v>285</v>
      </c>
    </row>
    <row r="241" spans="1:6" x14ac:dyDescent="0.2">
      <c r="A241" s="271" t="s">
        <v>33</v>
      </c>
      <c r="B241" s="187" t="s">
        <v>2</v>
      </c>
      <c r="C241" s="194">
        <f>'4.BDI'!B14*100</f>
        <v>27.310000000000002</v>
      </c>
      <c r="D241" s="189">
        <f>+F236</f>
        <v>5827.9252765055026</v>
      </c>
      <c r="E241" s="234">
        <f>C241*D241/100</f>
        <v>1591.6063930136529</v>
      </c>
      <c r="F241" s="279"/>
    </row>
    <row r="242" spans="1:6" ht="12.6" customHeight="1" thickBot="1" x14ac:dyDescent="0.25">
      <c r="A242" s="460" t="str">
        <f>F240</f>
        <v>Total (R$)</v>
      </c>
      <c r="B242" s="463"/>
      <c r="C242" s="463"/>
      <c r="D242" s="463"/>
      <c r="E242" s="463"/>
      <c r="F242" s="288">
        <f>+E241</f>
        <v>1591.6063930136529</v>
      </c>
    </row>
    <row r="243" spans="1:6" ht="9.75" customHeight="1" thickBot="1" x14ac:dyDescent="0.25"/>
    <row r="244" spans="1:6" ht="9.75" customHeight="1" thickBot="1" x14ac:dyDescent="0.25">
      <c r="A244" s="236" t="s">
        <v>220</v>
      </c>
      <c r="B244" s="291"/>
      <c r="C244" s="291"/>
      <c r="D244" s="292"/>
      <c r="E244" s="292"/>
      <c r="F244" s="238">
        <f>F242</f>
        <v>1591.6063930136529</v>
      </c>
    </row>
    <row r="245" spans="1:6" ht="9.75" customHeight="1" x14ac:dyDescent="0.2">
      <c r="A245" s="142"/>
      <c r="B245" s="142"/>
      <c r="C245" s="142"/>
      <c r="D245" s="143"/>
      <c r="E245" s="143"/>
      <c r="F245" s="226"/>
    </row>
    <row r="246" spans="1:6" ht="16.5" thickBot="1" x14ac:dyDescent="0.25"/>
    <row r="247" spans="1:6" ht="16.5" thickBot="1" x14ac:dyDescent="0.25">
      <c r="A247" s="236" t="s">
        <v>211</v>
      </c>
      <c r="B247" s="291"/>
      <c r="C247" s="291"/>
      <c r="D247" s="292"/>
      <c r="E247" s="292"/>
      <c r="F247" s="238">
        <f>F236+F244</f>
        <v>7419.5316695191559</v>
      </c>
    </row>
    <row r="248" spans="1:6" x14ac:dyDescent="0.2">
      <c r="A248" s="142"/>
      <c r="B248" s="142"/>
      <c r="C248" s="142"/>
      <c r="D248" s="143"/>
      <c r="E248" s="143"/>
      <c r="F248" s="143"/>
    </row>
    <row r="250" spans="1:6" x14ac:dyDescent="0.2">
      <c r="A250" s="142"/>
      <c r="B250" s="142"/>
      <c r="C250" s="142"/>
      <c r="D250" s="143"/>
      <c r="E250" s="143"/>
      <c r="F250" s="143"/>
    </row>
    <row r="251" spans="1:6" x14ac:dyDescent="0.2">
      <c r="A251" s="144"/>
      <c r="B251" s="145"/>
      <c r="C251" s="145"/>
    </row>
    <row r="252" spans="1:6" x14ac:dyDescent="0.2">
      <c r="A252" s="144"/>
      <c r="B252" s="145"/>
      <c r="C252" s="145"/>
    </row>
    <row r="253" spans="1:6" x14ac:dyDescent="0.2">
      <c r="A253" s="144"/>
      <c r="B253" s="145"/>
      <c r="C253" s="145"/>
    </row>
    <row r="275" spans="4:7" ht="9" customHeight="1" x14ac:dyDescent="0.2">
      <c r="G275" s="109"/>
    </row>
    <row r="283" spans="4:7" x14ac:dyDescent="0.2">
      <c r="D283" s="109"/>
      <c r="E283" s="109"/>
      <c r="F283" s="109"/>
    </row>
  </sheetData>
  <mergeCells count="56">
    <mergeCell ref="A210:E210"/>
    <mergeCell ref="A101:F101"/>
    <mergeCell ref="A85:E85"/>
    <mergeCell ref="A98:C98"/>
    <mergeCell ref="A119:C119"/>
    <mergeCell ref="A201:E201"/>
    <mergeCell ref="A102:F102"/>
    <mergeCell ref="A103:F103"/>
    <mergeCell ref="A87:F87"/>
    <mergeCell ref="A132:C132"/>
    <mergeCell ref="A154:C154"/>
    <mergeCell ref="A170:C170"/>
    <mergeCell ref="A196:E196"/>
    <mergeCell ref="A242:E242"/>
    <mergeCell ref="A61:D61"/>
    <mergeCell ref="A63:D63"/>
    <mergeCell ref="A73:D73"/>
    <mergeCell ref="A75:D75"/>
    <mergeCell ref="A65:C65"/>
    <mergeCell ref="A66:F66"/>
    <mergeCell ref="A67:F67"/>
    <mergeCell ref="A77:C77"/>
    <mergeCell ref="A78:F78"/>
    <mergeCell ref="A121:F121"/>
    <mergeCell ref="A120:F120"/>
    <mergeCell ref="A104:F104"/>
    <mergeCell ref="A105:F105"/>
    <mergeCell ref="A223:E223"/>
    <mergeCell ref="A79:F79"/>
    <mergeCell ref="A1:F1"/>
    <mergeCell ref="A2:F2"/>
    <mergeCell ref="A3:F3"/>
    <mergeCell ref="A55:F55"/>
    <mergeCell ref="A52:F52"/>
    <mergeCell ref="A25:C25"/>
    <mergeCell ref="A40:E40"/>
    <mergeCell ref="A41:D41"/>
    <mergeCell ref="A53:F53"/>
    <mergeCell ref="A54:F54"/>
    <mergeCell ref="A46:D46"/>
    <mergeCell ref="A221:E221"/>
    <mergeCell ref="A232:B232"/>
    <mergeCell ref="A4:F4"/>
    <mergeCell ref="A5:F5"/>
    <mergeCell ref="A7:F7"/>
    <mergeCell ref="A8:F8"/>
    <mergeCell ref="A13:F13"/>
    <mergeCell ref="A14:F14"/>
    <mergeCell ref="A15:F15"/>
    <mergeCell ref="A92:C92"/>
    <mergeCell ref="A122:F122"/>
    <mergeCell ref="A6:F6"/>
    <mergeCell ref="A17:F17"/>
    <mergeCell ref="A93:F93"/>
    <mergeCell ref="A94:F94"/>
    <mergeCell ref="A86:F86"/>
  </mergeCells>
  <hyperlinks>
    <hyperlink ref="A156" location="AbaRemun" display="3.1.2. Remuneração do Capital"/>
    <hyperlink ref="A140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0" fitToHeight="0" orientation="portrait" r:id="rId1"/>
  <headerFooter alignWithMargins="0">
    <oddFooter>&amp;R&amp;P de &amp;N</oddFooter>
  </headerFooter>
  <rowBreaks count="4" manualBreakCount="4">
    <brk id="52" max="5" man="1"/>
    <brk id="78" max="5" man="1"/>
    <brk id="135" max="5" man="1"/>
    <brk id="197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2"/>
  <sheetViews>
    <sheetView view="pageBreakPreview" topLeftCell="A148" zoomScaleNormal="100" zoomScaleSheetLayoutView="100" workbookViewId="0">
      <selection activeCell="D165" sqref="D165"/>
    </sheetView>
  </sheetViews>
  <sheetFormatPr defaultColWidth="9.140625" defaultRowHeight="15.75" x14ac:dyDescent="0.2"/>
  <cols>
    <col min="1" max="1" width="55.28515625" style="109" customWidth="1"/>
    <col min="2" max="2" width="22.5703125" style="109" customWidth="1"/>
    <col min="3" max="3" width="17.42578125" style="109" customWidth="1"/>
    <col min="4" max="4" width="21.28515625" style="145" customWidth="1"/>
    <col min="5" max="6" width="18.28515625" style="145" customWidth="1"/>
    <col min="7" max="7" width="28.140625" style="145" customWidth="1"/>
    <col min="8" max="8" width="9.140625" style="109"/>
    <col min="9" max="9" width="14.5703125" style="109" customWidth="1"/>
    <col min="10" max="10" width="13.42578125" style="109" customWidth="1"/>
    <col min="11" max="16384" width="9.140625" style="109"/>
  </cols>
  <sheetData>
    <row r="1" spans="1:9" x14ac:dyDescent="0.2">
      <c r="A1" s="431" t="s">
        <v>189</v>
      </c>
      <c r="B1" s="431"/>
      <c r="C1" s="431"/>
      <c r="D1" s="431"/>
      <c r="E1" s="431"/>
      <c r="F1" s="431"/>
    </row>
    <row r="2" spans="1:9" ht="15.6" customHeight="1" x14ac:dyDescent="0.2">
      <c r="A2" s="432" t="s">
        <v>283</v>
      </c>
      <c r="B2" s="432"/>
      <c r="C2" s="432"/>
      <c r="D2" s="432"/>
      <c r="E2" s="432"/>
      <c r="F2" s="432"/>
    </row>
    <row r="3" spans="1:9" ht="15.6" customHeight="1" x14ac:dyDescent="0.2">
      <c r="A3" s="472" t="s">
        <v>284</v>
      </c>
      <c r="B3" s="472"/>
      <c r="C3" s="472"/>
      <c r="D3" s="472"/>
      <c r="E3" s="472"/>
      <c r="F3" s="472"/>
    </row>
    <row r="4" spans="1:9" ht="16.5" customHeight="1" thickBot="1" x14ac:dyDescent="0.25">
      <c r="A4" s="433"/>
      <c r="B4" s="433"/>
      <c r="C4" s="433"/>
      <c r="D4" s="433"/>
      <c r="E4" s="433"/>
      <c r="F4" s="433"/>
    </row>
    <row r="5" spans="1:9" x14ac:dyDescent="0.2">
      <c r="A5" s="434" t="s">
        <v>400</v>
      </c>
      <c r="B5" s="435"/>
      <c r="C5" s="435"/>
      <c r="D5" s="435"/>
      <c r="E5" s="435"/>
      <c r="F5" s="436"/>
    </row>
    <row r="6" spans="1:9" ht="21.75" customHeight="1" thickBot="1" x14ac:dyDescent="0.25">
      <c r="A6" s="437" t="s">
        <v>40</v>
      </c>
      <c r="B6" s="438"/>
      <c r="C6" s="438"/>
      <c r="D6" s="438"/>
      <c r="E6" s="438"/>
      <c r="F6" s="439"/>
    </row>
    <row r="7" spans="1:9" ht="47.25" customHeight="1" x14ac:dyDescent="0.2">
      <c r="A7" s="464" t="s">
        <v>458</v>
      </c>
      <c r="B7" s="464"/>
      <c r="C7" s="464"/>
      <c r="D7" s="464"/>
      <c r="E7" s="464"/>
      <c r="F7" s="464"/>
    </row>
    <row r="8" spans="1:9" ht="43.5" customHeight="1" x14ac:dyDescent="0.2">
      <c r="A8" s="465" t="s">
        <v>481</v>
      </c>
      <c r="B8" s="466"/>
      <c r="C8" s="466"/>
      <c r="D8" s="466"/>
      <c r="E8" s="466"/>
      <c r="F8" s="466"/>
    </row>
    <row r="9" spans="1:9" ht="18.95" customHeight="1" x14ac:dyDescent="0.2">
      <c r="A9" s="414" t="s">
        <v>454</v>
      </c>
      <c r="B9" s="415" t="s">
        <v>462</v>
      </c>
      <c r="C9" s="416"/>
      <c r="D9" s="416"/>
      <c r="E9" s="416"/>
      <c r="F9" s="416"/>
    </row>
    <row r="10" spans="1:9" ht="18.95" customHeight="1" x14ac:dyDescent="0.2">
      <c r="A10" s="414" t="s">
        <v>443</v>
      </c>
      <c r="B10" s="415" t="s">
        <v>464</v>
      </c>
      <c r="C10" s="416"/>
      <c r="D10" s="416"/>
      <c r="E10" s="416"/>
      <c r="F10" s="416"/>
    </row>
    <row r="11" spans="1:9" ht="18.95" customHeight="1" x14ac:dyDescent="0.2">
      <c r="A11" s="414" t="s">
        <v>440</v>
      </c>
      <c r="B11" s="415" t="s">
        <v>463</v>
      </c>
      <c r="C11" s="416"/>
      <c r="D11" s="416"/>
      <c r="E11" s="416"/>
      <c r="F11" s="416"/>
    </row>
    <row r="12" spans="1:9" s="118" customFormat="1" ht="18.95" customHeight="1" x14ac:dyDescent="0.2">
      <c r="A12" s="417" t="s">
        <v>441</v>
      </c>
      <c r="B12" s="415" t="s">
        <v>465</v>
      </c>
      <c r="C12" s="416"/>
      <c r="D12" s="416"/>
      <c r="E12" s="416"/>
      <c r="F12" s="416"/>
      <c r="G12" s="144"/>
    </row>
    <row r="13" spans="1:9" ht="18.95" customHeight="1" x14ac:dyDescent="0.2">
      <c r="A13" s="467" t="s">
        <v>466</v>
      </c>
      <c r="B13" s="467"/>
      <c r="C13" s="467"/>
      <c r="D13" s="467"/>
      <c r="E13" s="467"/>
      <c r="F13" s="467"/>
      <c r="I13" s="265"/>
    </row>
    <row r="14" spans="1:9" ht="18.95" customHeight="1" x14ac:dyDescent="0.2">
      <c r="A14" s="467" t="s">
        <v>478</v>
      </c>
      <c r="B14" s="467"/>
      <c r="C14" s="467"/>
      <c r="D14" s="467"/>
      <c r="E14" s="467"/>
      <c r="F14" s="467"/>
    </row>
    <row r="15" spans="1:9" ht="18.95" customHeight="1" x14ac:dyDescent="0.2">
      <c r="A15" s="467" t="s">
        <v>479</v>
      </c>
      <c r="B15" s="467"/>
      <c r="C15" s="467"/>
      <c r="D15" s="467"/>
      <c r="E15" s="467"/>
      <c r="F15" s="467"/>
    </row>
    <row r="16" spans="1:9" ht="15.75" customHeight="1" thickBot="1" x14ac:dyDescent="0.25">
      <c r="A16" s="146"/>
      <c r="B16" s="147"/>
      <c r="C16" s="147"/>
      <c r="D16" s="148"/>
      <c r="E16" s="148"/>
      <c r="F16" s="149"/>
    </row>
    <row r="17" spans="1:7" ht="15.75" customHeight="1" thickBot="1" x14ac:dyDescent="0.25">
      <c r="A17" s="428" t="s">
        <v>188</v>
      </c>
      <c r="B17" s="429"/>
      <c r="C17" s="429"/>
      <c r="D17" s="429"/>
      <c r="E17" s="429"/>
      <c r="F17" s="430"/>
    </row>
    <row r="18" spans="1:7" s="118" customFormat="1" ht="15.75" customHeight="1" x14ac:dyDescent="0.2">
      <c r="A18" s="150" t="s">
        <v>187</v>
      </c>
      <c r="B18" s="151"/>
      <c r="C18" s="151"/>
      <c r="D18" s="152"/>
      <c r="E18" s="153" t="s">
        <v>35</v>
      </c>
      <c r="F18" s="154" t="s">
        <v>2</v>
      </c>
      <c r="G18" s="144"/>
    </row>
    <row r="19" spans="1:7" s="118" customFormat="1" ht="15.75" customHeight="1" x14ac:dyDescent="0.2">
      <c r="A19" s="155" t="str">
        <f>A53</f>
        <v>1. Mão-de-obra</v>
      </c>
      <c r="B19" s="156"/>
      <c r="C19" s="157"/>
      <c r="D19" s="157"/>
      <c r="E19" s="158">
        <f>SUM(E20:E24)</f>
        <v>2022.8279336823393</v>
      </c>
      <c r="F19" s="159">
        <f t="shared" ref="F19:F36" si="0">IFERROR(E19/$E$37,0)</f>
        <v>0.26637060086822756</v>
      </c>
      <c r="G19" s="144"/>
    </row>
    <row r="20" spans="1:7" ht="15.75" customHeight="1" x14ac:dyDescent="0.2">
      <c r="A20" s="160" t="str">
        <f>A55</f>
        <v>1.1. Coletor Turno Dia</v>
      </c>
      <c r="B20" s="161"/>
      <c r="C20" s="162"/>
      <c r="D20" s="162"/>
      <c r="E20" s="163">
        <f>F65</f>
        <v>1358.5514721411125</v>
      </c>
      <c r="F20" s="164">
        <f t="shared" si="0"/>
        <v>0.1788971597232609</v>
      </c>
    </row>
    <row r="21" spans="1:7" ht="15.75" customHeight="1" x14ac:dyDescent="0.2">
      <c r="A21" s="160" t="str">
        <f>A68</f>
        <v>1.3. Motorista Turno do Dia</v>
      </c>
      <c r="B21" s="161"/>
      <c r="C21" s="162"/>
      <c r="D21" s="162"/>
      <c r="E21" s="163">
        <f>F78</f>
        <v>644.89922954122676</v>
      </c>
      <c r="F21" s="164">
        <f t="shared" si="0"/>
        <v>8.492180299272549E-2</v>
      </c>
    </row>
    <row r="22" spans="1:7" ht="15.75" customHeight="1" x14ac:dyDescent="0.2">
      <c r="A22" s="160" t="str">
        <f>A80</f>
        <v>1.3. Vale Transporte</v>
      </c>
      <c r="B22" s="161"/>
      <c r="C22" s="162"/>
      <c r="D22" s="162"/>
      <c r="E22" s="163">
        <f>F86</f>
        <v>-210.98099999999999</v>
      </c>
      <c r="F22" s="164">
        <f t="shared" si="0"/>
        <v>-2.778245979601195E-2</v>
      </c>
    </row>
    <row r="23" spans="1:7" ht="15.75" customHeight="1" x14ac:dyDescent="0.2">
      <c r="A23" s="160" t="str">
        <f>A88</f>
        <v>1.4. Vale-refeição (diário)</v>
      </c>
      <c r="B23" s="161"/>
      <c r="C23" s="162"/>
      <c r="D23" s="162"/>
      <c r="E23" s="163">
        <f>F92</f>
        <v>212.68</v>
      </c>
      <c r="F23" s="164">
        <f t="shared" si="0"/>
        <v>2.8006187995202516E-2</v>
      </c>
    </row>
    <row r="24" spans="1:7" ht="15.75" customHeight="1" x14ac:dyDescent="0.2">
      <c r="A24" s="160" t="str">
        <f>A94</f>
        <v>1.5. Auxílio Alimentação (mensal)</v>
      </c>
      <c r="B24" s="161"/>
      <c r="C24" s="162"/>
      <c r="D24" s="162"/>
      <c r="E24" s="163">
        <f>F98</f>
        <v>17.678231999999998</v>
      </c>
      <c r="F24" s="164">
        <f t="shared" si="0"/>
        <v>2.3279099530506154E-3</v>
      </c>
    </row>
    <row r="25" spans="1:7" ht="15.75" customHeight="1" x14ac:dyDescent="0.2">
      <c r="A25" s="474" t="str">
        <f>A102</f>
        <v>2. Uniformes e Equipamentos de Proteção Individual</v>
      </c>
      <c r="B25" s="475"/>
      <c r="C25" s="475"/>
      <c r="D25" s="157"/>
      <c r="E25" s="158">
        <f>+F134</f>
        <v>88.40025</v>
      </c>
      <c r="F25" s="159">
        <f t="shared" si="0"/>
        <v>1.1640746757207547E-2</v>
      </c>
    </row>
    <row r="26" spans="1:7" ht="15.75" customHeight="1" x14ac:dyDescent="0.2">
      <c r="A26" s="337" t="str">
        <f>A136</f>
        <v>3. Veículos e Equipamentos</v>
      </c>
      <c r="B26" s="166"/>
      <c r="C26" s="157"/>
      <c r="D26" s="157"/>
      <c r="E26" s="158">
        <f>+F213</f>
        <v>3824.4350001275116</v>
      </c>
      <c r="F26" s="159">
        <f t="shared" si="0"/>
        <v>0.50361033284278467</v>
      </c>
    </row>
    <row r="27" spans="1:7" s="118" customFormat="1" ht="15.75" customHeight="1" x14ac:dyDescent="0.2">
      <c r="A27" s="167" t="str">
        <f>A138</f>
        <v>3.1. Veículo Coletor Bau basculante de 30 m³ (mínimo)</v>
      </c>
      <c r="B27" s="168"/>
      <c r="C27" s="162"/>
      <c r="D27" s="162"/>
      <c r="E27" s="163">
        <f>SUM(E29:E33)</f>
        <v>3614.1911535602712</v>
      </c>
      <c r="F27" s="164">
        <f t="shared" si="0"/>
        <v>0.47592494309388189</v>
      </c>
      <c r="G27" s="144"/>
    </row>
    <row r="28" spans="1:7" s="118" customFormat="1" ht="15.75" customHeight="1" x14ac:dyDescent="0.2">
      <c r="A28" s="167" t="str">
        <f>A140</f>
        <v>3.2.1. Depreciação</v>
      </c>
      <c r="B28" s="168"/>
      <c r="C28" s="162"/>
      <c r="D28" s="162"/>
      <c r="E28" s="163">
        <f>F154</f>
        <v>210.24384656724007</v>
      </c>
      <c r="F28" s="164">
        <f t="shared" si="0"/>
        <v>2.7685389748902757E-2</v>
      </c>
      <c r="G28" s="144"/>
    </row>
    <row r="29" spans="1:7" s="118" customFormat="1" ht="15.75" customHeight="1" x14ac:dyDescent="0.2">
      <c r="A29" s="167" t="str">
        <f>A156</f>
        <v>3.2.2. Remuneração do Capital</v>
      </c>
      <c r="B29" s="168"/>
      <c r="C29" s="162"/>
      <c r="D29" s="162"/>
      <c r="E29" s="163">
        <f>F170</f>
        <v>245.04528340809762</v>
      </c>
      <c r="F29" s="164">
        <f t="shared" si="0"/>
        <v>3.2268122411439074E-2</v>
      </c>
      <c r="G29" s="144"/>
    </row>
    <row r="30" spans="1:7" ht="15.75" customHeight="1" x14ac:dyDescent="0.2">
      <c r="A30" s="167" t="str">
        <f>A172</f>
        <v>3.2.3. Impostos e Seguros</v>
      </c>
      <c r="B30" s="168"/>
      <c r="C30" s="162"/>
      <c r="D30" s="162"/>
      <c r="E30" s="163">
        <f>F178</f>
        <v>81.800758500000001</v>
      </c>
      <c r="F30" s="164">
        <f t="shared" si="0"/>
        <v>1.0771710648397406E-2</v>
      </c>
    </row>
    <row r="31" spans="1:7" x14ac:dyDescent="0.2">
      <c r="A31" s="167" t="str">
        <f>A180</f>
        <v>3.2.4. Consumos</v>
      </c>
      <c r="B31" s="168"/>
      <c r="C31" s="162"/>
      <c r="D31" s="162"/>
      <c r="E31" s="163">
        <f>F196</f>
        <v>2434.8897916521742</v>
      </c>
      <c r="F31" s="164">
        <f t="shared" si="0"/>
        <v>0.32063184715351833</v>
      </c>
    </row>
    <row r="32" spans="1:7" x14ac:dyDescent="0.2">
      <c r="A32" s="167" t="str">
        <f>A198</f>
        <v>3.2.5. Manutenção</v>
      </c>
      <c r="B32" s="168"/>
      <c r="C32" s="162"/>
      <c r="D32" s="162"/>
      <c r="E32" s="163">
        <f>F201</f>
        <v>710.06799999999998</v>
      </c>
      <c r="F32" s="164">
        <f t="shared" si="0"/>
        <v>9.3503375481368528E-2</v>
      </c>
    </row>
    <row r="33" spans="1:10" ht="15" customHeight="1" x14ac:dyDescent="0.2">
      <c r="A33" s="167" t="str">
        <f>A203</f>
        <v>3.2.6. Pneus</v>
      </c>
      <c r="B33" s="168"/>
      <c r="C33" s="162"/>
      <c r="D33" s="162"/>
      <c r="E33" s="163">
        <f>F210</f>
        <v>142.38732000000002</v>
      </c>
      <c r="F33" s="164">
        <f t="shared" si="0"/>
        <v>1.874988739915864E-2</v>
      </c>
    </row>
    <row r="34" spans="1:10" ht="15" customHeight="1" x14ac:dyDescent="0.2">
      <c r="A34" s="337" t="str">
        <f>A215</f>
        <v>4. Ferramentas e Materiais de Consumo</v>
      </c>
      <c r="B34" s="166"/>
      <c r="C34" s="157"/>
      <c r="D34" s="157"/>
      <c r="E34" s="158">
        <f>+F223</f>
        <v>14.94</v>
      </c>
      <c r="F34" s="159">
        <f t="shared" si="0"/>
        <v>1.9673333113048972E-3</v>
      </c>
    </row>
    <row r="35" spans="1:10" ht="15" customHeight="1" x14ac:dyDescent="0.2">
      <c r="A35" s="337" t="str">
        <f>A225</f>
        <v>5. Monitoramento da Frota</v>
      </c>
      <c r="B35" s="166"/>
      <c r="C35" s="157"/>
      <c r="D35" s="157"/>
      <c r="E35" s="158">
        <f>+F234</f>
        <v>14.3925</v>
      </c>
      <c r="F35" s="159">
        <f t="shared" si="0"/>
        <v>1.8952372612420171E-3</v>
      </c>
    </row>
    <row r="36" spans="1:10" ht="15" customHeight="1" thickBot="1" x14ac:dyDescent="0.25">
      <c r="A36" s="337" t="str">
        <f>A238</f>
        <v>6. Benefícios e Despesas Indiretas - BDI</v>
      </c>
      <c r="B36" s="166"/>
      <c r="C36" s="157"/>
      <c r="D36" s="157"/>
      <c r="E36" s="169">
        <f>+F244</f>
        <v>1629.0403212484703</v>
      </c>
      <c r="F36" s="159">
        <f t="shared" si="0"/>
        <v>0.21451574895923339</v>
      </c>
    </row>
    <row r="37" spans="1:10" ht="15" customHeight="1" thickBot="1" x14ac:dyDescent="0.25">
      <c r="A37" s="170" t="s">
        <v>401</v>
      </c>
      <c r="B37" s="171"/>
      <c r="C37" s="172"/>
      <c r="D37" s="172"/>
      <c r="E37" s="173">
        <f>E19+E25+E26+E34+E35+E36</f>
        <v>7594.0360050583204</v>
      </c>
      <c r="F37" s="174">
        <f>F19+F25+F26+F34+F35+F36</f>
        <v>1</v>
      </c>
    </row>
    <row r="38" spans="1:10" ht="15" customHeight="1" x14ac:dyDescent="0.2"/>
    <row r="39" spans="1:10" ht="15" customHeight="1" thickBot="1" x14ac:dyDescent="0.25"/>
    <row r="40" spans="1:10" ht="15" customHeight="1" x14ac:dyDescent="0.2">
      <c r="A40" s="476" t="s">
        <v>88</v>
      </c>
      <c r="B40" s="477"/>
      <c r="C40" s="477"/>
      <c r="D40" s="477"/>
      <c r="E40" s="478"/>
    </row>
    <row r="41" spans="1:10" ht="15" customHeight="1" x14ac:dyDescent="0.2">
      <c r="A41" s="479" t="s">
        <v>36</v>
      </c>
      <c r="B41" s="480"/>
      <c r="C41" s="480"/>
      <c r="D41" s="480"/>
      <c r="E41" s="332" t="s">
        <v>37</v>
      </c>
    </row>
    <row r="42" spans="1:10" ht="15" customHeight="1" x14ac:dyDescent="0.2">
      <c r="A42" s="323" t="str">
        <f>+A55</f>
        <v>1.1. Coletor Turno Dia</v>
      </c>
      <c r="B42" s="195"/>
      <c r="C42" s="195"/>
      <c r="D42" s="43"/>
      <c r="E42" s="175">
        <f>C64</f>
        <v>2</v>
      </c>
    </row>
    <row r="43" spans="1:10" x14ac:dyDescent="0.2">
      <c r="A43" s="323" t="str">
        <f>+A68</f>
        <v>1.3. Motorista Turno do Dia</v>
      </c>
      <c r="B43" s="195"/>
      <c r="C43" s="195"/>
      <c r="D43" s="43"/>
      <c r="E43" s="175">
        <f>C77</f>
        <v>1</v>
      </c>
      <c r="H43" s="341"/>
    </row>
    <row r="44" spans="1:10" s="118" customFormat="1" ht="15.75" customHeight="1" x14ac:dyDescent="0.2">
      <c r="A44" s="324" t="s">
        <v>55</v>
      </c>
      <c r="B44" s="322"/>
      <c r="C44" s="322"/>
      <c r="D44" s="43"/>
      <c r="E44" s="325">
        <f>SUM(E42:E43)</f>
        <v>3</v>
      </c>
      <c r="F44" s="145"/>
      <c r="G44" s="144"/>
    </row>
    <row r="45" spans="1:10" ht="15.75" customHeight="1" x14ac:dyDescent="0.2">
      <c r="A45" s="324"/>
      <c r="B45" s="322"/>
      <c r="C45" s="195"/>
      <c r="D45" s="195"/>
      <c r="E45" s="326"/>
    </row>
    <row r="46" spans="1:10" ht="13.15" customHeight="1" x14ac:dyDescent="0.2">
      <c r="A46" s="482" t="s">
        <v>53</v>
      </c>
      <c r="B46" s="483"/>
      <c r="C46" s="483"/>
      <c r="D46" s="483"/>
      <c r="E46" s="332" t="s">
        <v>37</v>
      </c>
      <c r="F46" s="109"/>
    </row>
    <row r="47" spans="1:10" ht="11.25" customHeight="1" x14ac:dyDescent="0.2">
      <c r="A47" s="394" t="str">
        <f>+A138</f>
        <v>3.1. Veículo Coletor Bau basculante de 30 m³ (mínimo)</v>
      </c>
      <c r="B47" s="395"/>
      <c r="C47" s="395"/>
      <c r="D47" s="396"/>
      <c r="E47" s="397">
        <v>1</v>
      </c>
      <c r="F47" s="109"/>
    </row>
    <row r="48" spans="1:10" s="145" customFormat="1" ht="13.9" customHeight="1" thickBot="1" x14ac:dyDescent="0.25">
      <c r="A48" s="403" t="s">
        <v>395</v>
      </c>
      <c r="B48" s="328"/>
      <c r="C48" s="328"/>
      <c r="D48" s="125"/>
      <c r="E48" s="177">
        <f>C153</f>
        <v>1</v>
      </c>
      <c r="F48" s="109"/>
      <c r="H48" s="109"/>
      <c r="I48" s="109"/>
      <c r="J48" s="109"/>
    </row>
    <row r="49" spans="1:10" s="145" customFormat="1" ht="13.9" customHeight="1" x14ac:dyDescent="0.2">
      <c r="A49" s="176"/>
      <c r="B49" s="176"/>
      <c r="C49" s="176"/>
      <c r="D49" s="178"/>
      <c r="E49" s="179"/>
      <c r="F49" s="109"/>
      <c r="H49" s="109"/>
      <c r="I49" s="109"/>
      <c r="J49" s="109"/>
    </row>
    <row r="50" spans="1:10" s="145" customFormat="1" ht="13.15" customHeight="1" thickBot="1" x14ac:dyDescent="0.25">
      <c r="A50" s="176"/>
      <c r="B50" s="176"/>
      <c r="C50" s="412"/>
      <c r="D50" s="178"/>
      <c r="E50" s="180"/>
      <c r="F50" s="109"/>
      <c r="H50" s="109"/>
      <c r="I50" s="109"/>
      <c r="J50" s="109"/>
    </row>
    <row r="51" spans="1:10" s="145" customFormat="1" ht="16.5" thickBot="1" x14ac:dyDescent="0.25">
      <c r="A51" s="181" t="s">
        <v>282</v>
      </c>
      <c r="B51" s="380">
        <v>0.18179999999999999</v>
      </c>
      <c r="C51" s="412" t="s">
        <v>442</v>
      </c>
      <c r="D51" s="142"/>
      <c r="E51" s="182"/>
      <c r="F51" s="109">
        <v>18.18</v>
      </c>
      <c r="H51" s="109"/>
      <c r="I51" s="109"/>
      <c r="J51" s="109"/>
    </row>
    <row r="52" spans="1:10" s="145" customFormat="1" ht="13.15" customHeight="1" x14ac:dyDescent="0.2">
      <c r="A52" s="176"/>
      <c r="B52" s="176"/>
      <c r="C52" s="412"/>
      <c r="D52" s="176"/>
      <c r="E52" s="176"/>
      <c r="F52" s="176"/>
      <c r="H52" s="109"/>
      <c r="I52" s="109"/>
      <c r="J52" s="109"/>
    </row>
    <row r="53" spans="1:10" s="145" customFormat="1" x14ac:dyDescent="0.2">
      <c r="A53" s="481" t="s">
        <v>44</v>
      </c>
      <c r="B53" s="481"/>
      <c r="C53" s="481"/>
      <c r="D53" s="481"/>
      <c r="E53" s="481"/>
      <c r="F53" s="481"/>
      <c r="H53" s="109"/>
      <c r="I53" s="109"/>
      <c r="J53" s="109"/>
    </row>
    <row r="54" spans="1:10" s="145" customFormat="1" x14ac:dyDescent="0.2">
      <c r="A54" s="432"/>
      <c r="B54" s="432"/>
      <c r="C54" s="432"/>
      <c r="D54" s="432"/>
      <c r="E54" s="432"/>
      <c r="F54" s="432"/>
      <c r="H54" s="109"/>
      <c r="I54" s="109"/>
      <c r="J54" s="109"/>
    </row>
    <row r="55" spans="1:10" s="145" customFormat="1" ht="16.5" thickBot="1" x14ac:dyDescent="0.25">
      <c r="A55" s="471" t="s">
        <v>89</v>
      </c>
      <c r="B55" s="471"/>
      <c r="C55" s="471"/>
      <c r="D55" s="471"/>
      <c r="E55" s="471"/>
      <c r="F55" s="471"/>
      <c r="H55" s="109"/>
      <c r="I55" s="109"/>
      <c r="J55" s="109"/>
    </row>
    <row r="56" spans="1:10" s="145" customFormat="1" ht="16.5" thickBot="1" x14ac:dyDescent="0.25">
      <c r="A56" s="183" t="s">
        <v>59</v>
      </c>
      <c r="B56" s="184" t="s">
        <v>60</v>
      </c>
      <c r="C56" s="184" t="s">
        <v>37</v>
      </c>
      <c r="D56" s="185" t="s">
        <v>216</v>
      </c>
      <c r="E56" s="185" t="s">
        <v>61</v>
      </c>
      <c r="F56" s="186" t="s">
        <v>285</v>
      </c>
      <c r="H56" s="109"/>
      <c r="I56" s="109"/>
      <c r="J56" s="109"/>
    </row>
    <row r="57" spans="1:10" s="145" customFormat="1" x14ac:dyDescent="0.2">
      <c r="A57" s="271" t="s">
        <v>198</v>
      </c>
      <c r="B57" s="187" t="s">
        <v>6</v>
      </c>
      <c r="C57" s="187">
        <v>1</v>
      </c>
      <c r="D57" s="188">
        <v>1549.57</v>
      </c>
      <c r="E57" s="189">
        <f>C57*D57</f>
        <v>1549.57</v>
      </c>
      <c r="F57" s="272"/>
      <c r="H57" s="109"/>
      <c r="I57" s="109"/>
      <c r="J57" s="109"/>
    </row>
    <row r="58" spans="1:10" s="145" customFormat="1" ht="13.9" customHeight="1" x14ac:dyDescent="0.2">
      <c r="A58" s="41" t="s">
        <v>32</v>
      </c>
      <c r="B58" s="42" t="s">
        <v>0</v>
      </c>
      <c r="C58" s="190">
        <v>0</v>
      </c>
      <c r="D58" s="191">
        <f>D57/220*2</f>
        <v>14.087</v>
      </c>
      <c r="E58" s="191">
        <f>C58*D58</f>
        <v>0</v>
      </c>
      <c r="F58" s="272"/>
      <c r="H58" s="109"/>
      <c r="I58" s="109"/>
      <c r="J58" s="109"/>
    </row>
    <row r="59" spans="1:10" s="145" customFormat="1" ht="11.25" customHeight="1" x14ac:dyDescent="0.2">
      <c r="A59" s="41" t="s">
        <v>202</v>
      </c>
      <c r="B59" s="42" t="s">
        <v>31</v>
      </c>
      <c r="C59" s="178"/>
      <c r="D59" s="191">
        <f>63/302*(SUM(E58:E58))</f>
        <v>0</v>
      </c>
      <c r="E59" s="191">
        <f>D59</f>
        <v>0</v>
      </c>
      <c r="F59" s="272"/>
      <c r="H59" s="109"/>
      <c r="I59" s="109"/>
      <c r="J59" s="109"/>
    </row>
    <row r="60" spans="1:10" s="145" customFormat="1" ht="11.25" customHeight="1" x14ac:dyDescent="0.2">
      <c r="A60" s="41" t="s">
        <v>1</v>
      </c>
      <c r="B60" s="42" t="s">
        <v>2</v>
      </c>
      <c r="C60" s="42">
        <v>40</v>
      </c>
      <c r="D60" s="192">
        <f>SUM(E57:E59)</f>
        <v>1549.57</v>
      </c>
      <c r="E60" s="191">
        <f>C60*D60/100</f>
        <v>619.82799999999997</v>
      </c>
      <c r="F60" s="272"/>
      <c r="H60" s="109"/>
      <c r="I60" s="109"/>
      <c r="J60" s="109"/>
    </row>
    <row r="61" spans="1:10" s="145" customFormat="1" x14ac:dyDescent="0.2">
      <c r="A61" s="484" t="s">
        <v>287</v>
      </c>
      <c r="B61" s="485"/>
      <c r="C61" s="485"/>
      <c r="D61" s="486"/>
      <c r="E61" s="193">
        <f>SUM(E57:E60)</f>
        <v>2169.3980000000001</v>
      </c>
      <c r="F61" s="272"/>
      <c r="H61" s="109"/>
      <c r="I61" s="109"/>
      <c r="J61" s="109"/>
    </row>
    <row r="62" spans="1:10" ht="13.15" customHeight="1" x14ac:dyDescent="0.2">
      <c r="A62" s="41" t="s">
        <v>3</v>
      </c>
      <c r="B62" s="42" t="s">
        <v>2</v>
      </c>
      <c r="C62" s="194">
        <f>'2.Encargos Sociais'!$C$34*100</f>
        <v>72.231660000000005</v>
      </c>
      <c r="D62" s="191">
        <f>E61</f>
        <v>2169.3980000000001</v>
      </c>
      <c r="E62" s="191">
        <f>D62*C62/100</f>
        <v>1566.9921874068002</v>
      </c>
      <c r="F62" s="272"/>
    </row>
    <row r="63" spans="1:10" x14ac:dyDescent="0.2">
      <c r="A63" s="484" t="s">
        <v>288</v>
      </c>
      <c r="B63" s="487"/>
      <c r="C63" s="487"/>
      <c r="D63" s="488"/>
      <c r="E63" s="193">
        <f>E61+E62</f>
        <v>3736.3901874068006</v>
      </c>
      <c r="F63" s="272"/>
    </row>
    <row r="64" spans="1:10" x14ac:dyDescent="0.2">
      <c r="A64" s="273" t="s">
        <v>4</v>
      </c>
      <c r="B64" s="274" t="s">
        <v>5</v>
      </c>
      <c r="C64" s="275">
        <v>2</v>
      </c>
      <c r="D64" s="191">
        <f>E63</f>
        <v>3736.3901874068006</v>
      </c>
      <c r="E64" s="191">
        <f>C64*D64</f>
        <v>7472.7803748136012</v>
      </c>
      <c r="F64" s="272"/>
    </row>
    <row r="65" spans="1:7" ht="16.5" thickBot="1" x14ac:dyDescent="0.25">
      <c r="A65" s="468" t="s">
        <v>285</v>
      </c>
      <c r="B65" s="489"/>
      <c r="C65" s="490"/>
      <c r="D65" s="276" t="s">
        <v>286</v>
      </c>
      <c r="E65" s="382">
        <f>$B$51</f>
        <v>0.18179999999999999</v>
      </c>
      <c r="F65" s="230">
        <f>E64*E65</f>
        <v>1358.5514721411125</v>
      </c>
    </row>
    <row r="66" spans="1:7" x14ac:dyDescent="0.2">
      <c r="A66" s="432"/>
      <c r="B66" s="432"/>
      <c r="C66" s="432"/>
      <c r="D66" s="432"/>
      <c r="E66" s="432"/>
      <c r="F66" s="432"/>
    </row>
    <row r="67" spans="1:7" s="118" customFormat="1" x14ac:dyDescent="0.2">
      <c r="A67" s="432"/>
      <c r="B67" s="432"/>
      <c r="C67" s="432"/>
      <c r="D67" s="432"/>
      <c r="E67" s="432"/>
      <c r="F67" s="432"/>
      <c r="G67" s="144"/>
    </row>
    <row r="68" spans="1:7" ht="16.5" thickBot="1" x14ac:dyDescent="0.25">
      <c r="A68" s="471" t="s">
        <v>90</v>
      </c>
      <c r="B68" s="471"/>
      <c r="C68" s="471"/>
      <c r="D68" s="471"/>
      <c r="E68" s="471"/>
      <c r="F68" s="471"/>
    </row>
    <row r="69" spans="1:7" s="118" customFormat="1" ht="16.5" thickBot="1" x14ac:dyDescent="0.25">
      <c r="A69" s="183" t="s">
        <v>59</v>
      </c>
      <c r="B69" s="184" t="s">
        <v>60</v>
      </c>
      <c r="C69" s="184" t="s">
        <v>37</v>
      </c>
      <c r="D69" s="185" t="s">
        <v>216</v>
      </c>
      <c r="E69" s="185" t="s">
        <v>61</v>
      </c>
      <c r="F69" s="186" t="s">
        <v>285</v>
      </c>
      <c r="G69" s="144"/>
    </row>
    <row r="70" spans="1:7" x14ac:dyDescent="0.2">
      <c r="A70" s="271" t="s">
        <v>200</v>
      </c>
      <c r="B70" s="187" t="s">
        <v>6</v>
      </c>
      <c r="C70" s="187">
        <v>1</v>
      </c>
      <c r="D70" s="188">
        <v>1817.21</v>
      </c>
      <c r="E70" s="189">
        <f>C70*D70</f>
        <v>1817.21</v>
      </c>
      <c r="F70" s="272"/>
    </row>
    <row r="71" spans="1:7" x14ac:dyDescent="0.2">
      <c r="A71" s="271" t="s">
        <v>201</v>
      </c>
      <c r="B71" s="187" t="s">
        <v>6</v>
      </c>
      <c r="C71" s="187">
        <v>1</v>
      </c>
      <c r="D71" s="188">
        <v>1212</v>
      </c>
      <c r="E71" s="189"/>
      <c r="F71" s="272"/>
    </row>
    <row r="72" spans="1:7" ht="11.25" customHeight="1" x14ac:dyDescent="0.2">
      <c r="A72" s="41" t="s">
        <v>199</v>
      </c>
      <c r="B72" s="42"/>
      <c r="C72" s="197">
        <v>1</v>
      </c>
      <c r="D72" s="191"/>
      <c r="E72" s="191"/>
      <c r="F72" s="272"/>
    </row>
    <row r="73" spans="1:7" x14ac:dyDescent="0.2">
      <c r="A73" s="41" t="s">
        <v>1</v>
      </c>
      <c r="B73" s="42" t="s">
        <v>2</v>
      </c>
      <c r="C73" s="40">
        <v>20</v>
      </c>
      <c r="D73" s="192">
        <f>IF(C72=2,SUM(E70:E71),IF(C72=1,(SUM(E70:E71))*D71/D70,0))</f>
        <v>1212</v>
      </c>
      <c r="E73" s="191">
        <f>C73*D73/100</f>
        <v>242.4</v>
      </c>
      <c r="F73" s="272"/>
      <c r="G73" s="109"/>
    </row>
    <row r="74" spans="1:7" x14ac:dyDescent="0.2">
      <c r="A74" s="484" t="s">
        <v>287</v>
      </c>
      <c r="B74" s="485"/>
      <c r="C74" s="485"/>
      <c r="D74" s="486"/>
      <c r="E74" s="198">
        <f>SUM(E70:E73)</f>
        <v>2059.61</v>
      </c>
      <c r="F74" s="278"/>
      <c r="G74" s="109"/>
    </row>
    <row r="75" spans="1:7" x14ac:dyDescent="0.2">
      <c r="A75" s="41" t="s">
        <v>3</v>
      </c>
      <c r="B75" s="42" t="s">
        <v>2</v>
      </c>
      <c r="C75" s="194">
        <f>'2.Encargos Sociais'!$C$34*100</f>
        <v>72.231660000000005</v>
      </c>
      <c r="D75" s="191">
        <f>E74</f>
        <v>2059.61</v>
      </c>
      <c r="E75" s="191">
        <f>D75*C75/100</f>
        <v>1487.6904925260003</v>
      </c>
      <c r="F75" s="272"/>
      <c r="G75" s="109"/>
    </row>
    <row r="76" spans="1:7" x14ac:dyDescent="0.2">
      <c r="A76" s="484" t="s">
        <v>289</v>
      </c>
      <c r="B76" s="485"/>
      <c r="C76" s="485"/>
      <c r="D76" s="486"/>
      <c r="E76" s="198">
        <f>E74+E75</f>
        <v>3547.3004925260002</v>
      </c>
      <c r="F76" s="278"/>
      <c r="G76" s="109"/>
    </row>
    <row r="77" spans="1:7" x14ac:dyDescent="0.2">
      <c r="A77" s="41" t="s">
        <v>4</v>
      </c>
      <c r="B77" s="42" t="s">
        <v>5</v>
      </c>
      <c r="C77" s="40">
        <v>1</v>
      </c>
      <c r="D77" s="191">
        <f>E76</f>
        <v>3547.3004925260002</v>
      </c>
      <c r="E77" s="191">
        <f>C77*D77</f>
        <v>3547.3004925260002</v>
      </c>
      <c r="F77" s="272"/>
      <c r="G77" s="109"/>
    </row>
    <row r="78" spans="1:7" ht="16.5" thickBot="1" x14ac:dyDescent="0.25">
      <c r="A78" s="468" t="s">
        <v>285</v>
      </c>
      <c r="B78" s="489"/>
      <c r="C78" s="490"/>
      <c r="D78" s="277" t="s">
        <v>286</v>
      </c>
      <c r="E78" s="382">
        <f>$B$51</f>
        <v>0.18179999999999999</v>
      </c>
      <c r="F78" s="230">
        <f>E77*E78</f>
        <v>644.89922954122676</v>
      </c>
      <c r="G78" s="109"/>
    </row>
    <row r="79" spans="1:7" x14ac:dyDescent="0.2">
      <c r="A79" s="432"/>
      <c r="B79" s="432"/>
      <c r="C79" s="432"/>
      <c r="D79" s="432"/>
      <c r="E79" s="432"/>
      <c r="F79" s="432"/>
      <c r="G79" s="109"/>
    </row>
    <row r="80" spans="1:7" ht="11.25" customHeight="1" thickBot="1" x14ac:dyDescent="0.25">
      <c r="A80" s="471" t="s">
        <v>361</v>
      </c>
      <c r="B80" s="471"/>
      <c r="C80" s="471"/>
      <c r="D80" s="471"/>
      <c r="E80" s="471"/>
      <c r="F80" s="471"/>
      <c r="G80" s="109"/>
    </row>
    <row r="81" spans="1:7" ht="16.5" thickBot="1" x14ac:dyDescent="0.25">
      <c r="A81" s="183" t="s">
        <v>59</v>
      </c>
      <c r="B81" s="184" t="s">
        <v>60</v>
      </c>
      <c r="C81" s="184" t="s">
        <v>37</v>
      </c>
      <c r="D81" s="185" t="s">
        <v>216</v>
      </c>
      <c r="E81" s="185" t="s">
        <v>61</v>
      </c>
      <c r="F81" s="186" t="s">
        <v>285</v>
      </c>
      <c r="G81" s="109"/>
    </row>
    <row r="82" spans="1:7" x14ac:dyDescent="0.2">
      <c r="A82" s="41" t="s">
        <v>84</v>
      </c>
      <c r="B82" s="42" t="s">
        <v>31</v>
      </c>
      <c r="C82" s="199">
        <v>1</v>
      </c>
      <c r="D82" s="282">
        <v>3.5</v>
      </c>
      <c r="E82" s="233"/>
      <c r="F82" s="279"/>
      <c r="G82" s="109"/>
    </row>
    <row r="83" spans="1:7" x14ac:dyDescent="0.2">
      <c r="A83" s="41" t="s">
        <v>85</v>
      </c>
      <c r="B83" s="42" t="s">
        <v>86</v>
      </c>
      <c r="C83" s="283">
        <v>4</v>
      </c>
      <c r="D83" s="191"/>
      <c r="E83" s="233"/>
      <c r="F83" s="280"/>
      <c r="G83" s="109"/>
    </row>
    <row r="84" spans="1:7" x14ac:dyDescent="0.2">
      <c r="A84" s="41" t="s">
        <v>67</v>
      </c>
      <c r="B84" s="42" t="s">
        <v>7</v>
      </c>
      <c r="C84" s="200">
        <f>$C$83*2*(C64)</f>
        <v>16</v>
      </c>
      <c r="D84" s="189">
        <f>IFERROR((($C$83*2*$D$82)-(E57*0.06))/($C$83*2),"-")</f>
        <v>-8.1217749999999995</v>
      </c>
      <c r="E84" s="233">
        <f>IFERROR(C84*D84,"-")</f>
        <v>-129.94839999999999</v>
      </c>
      <c r="F84" s="280"/>
      <c r="G84" s="109"/>
    </row>
    <row r="85" spans="1:7" x14ac:dyDescent="0.2">
      <c r="A85" s="271" t="s">
        <v>41</v>
      </c>
      <c r="B85" s="187" t="s">
        <v>7</v>
      </c>
      <c r="C85" s="200">
        <f>$C$83*2*(C77)</f>
        <v>8</v>
      </c>
      <c r="D85" s="189">
        <f>IFERROR((($C$83*2*$D$82)-(E70*0.06))/($C$83*2),"-")</f>
        <v>-10.129075</v>
      </c>
      <c r="E85" s="234">
        <f>IFERROR(C85*D85,"-")</f>
        <v>-81.032600000000002</v>
      </c>
      <c r="F85" s="280"/>
      <c r="G85" s="109"/>
    </row>
    <row r="86" spans="1:7" ht="16.5" thickBot="1" x14ac:dyDescent="0.25">
      <c r="A86" s="468" t="s">
        <v>285</v>
      </c>
      <c r="B86" s="489"/>
      <c r="C86" s="489"/>
      <c r="D86" s="489"/>
      <c r="E86" s="490"/>
      <c r="F86" s="284">
        <f>SUM(E84:E85)</f>
        <v>-210.98099999999999</v>
      </c>
      <c r="G86" s="109"/>
    </row>
    <row r="87" spans="1:7" x14ac:dyDescent="0.2">
      <c r="A87" s="432"/>
      <c r="B87" s="432"/>
      <c r="C87" s="432"/>
      <c r="D87" s="432"/>
      <c r="E87" s="432"/>
      <c r="F87" s="432"/>
      <c r="G87" s="109"/>
    </row>
    <row r="88" spans="1:7" ht="16.5" thickBot="1" x14ac:dyDescent="0.25">
      <c r="A88" s="471" t="s">
        <v>362</v>
      </c>
      <c r="B88" s="471"/>
      <c r="C88" s="471"/>
      <c r="D88" s="471"/>
      <c r="E88" s="471"/>
      <c r="F88" s="471"/>
      <c r="G88" s="109"/>
    </row>
    <row r="89" spans="1:7" ht="16.5" thickBot="1" x14ac:dyDescent="0.25">
      <c r="A89" s="183" t="s">
        <v>59</v>
      </c>
      <c r="B89" s="184" t="s">
        <v>60</v>
      </c>
      <c r="C89" s="184" t="s">
        <v>37</v>
      </c>
      <c r="D89" s="185" t="s">
        <v>216</v>
      </c>
      <c r="E89" s="185" t="s">
        <v>61</v>
      </c>
      <c r="F89" s="186" t="s">
        <v>285</v>
      </c>
      <c r="G89" s="109"/>
    </row>
    <row r="90" spans="1:7" x14ac:dyDescent="0.2">
      <c r="A90" s="41" t="str">
        <f>+A84</f>
        <v>Coletor</v>
      </c>
      <c r="B90" s="42" t="s">
        <v>8</v>
      </c>
      <c r="C90" s="201">
        <f>C83*(E42)</f>
        <v>8</v>
      </c>
      <c r="D90" s="202">
        <v>20.18</v>
      </c>
      <c r="E90" s="235">
        <f>C90*D90</f>
        <v>161.44</v>
      </c>
      <c r="F90" s="285"/>
      <c r="G90" s="109"/>
    </row>
    <row r="91" spans="1:7" x14ac:dyDescent="0.2">
      <c r="A91" s="41" t="str">
        <f>+A85</f>
        <v>Motorista</v>
      </c>
      <c r="B91" s="42" t="s">
        <v>8</v>
      </c>
      <c r="C91" s="201">
        <f>C83*(E43)</f>
        <v>4</v>
      </c>
      <c r="D91" s="202">
        <v>12.81</v>
      </c>
      <c r="E91" s="235">
        <f>C91*D91</f>
        <v>51.24</v>
      </c>
      <c r="F91" s="281"/>
      <c r="G91" s="109"/>
    </row>
    <row r="92" spans="1:7" ht="16.5" thickBot="1" x14ac:dyDescent="0.25">
      <c r="A92" s="468" t="s">
        <v>285</v>
      </c>
      <c r="B92" s="489"/>
      <c r="C92" s="489"/>
      <c r="D92" s="489"/>
      <c r="E92" s="490"/>
      <c r="F92" s="284">
        <f>SUM(E90:E91)</f>
        <v>212.68</v>
      </c>
      <c r="G92" s="109"/>
    </row>
    <row r="93" spans="1:7" x14ac:dyDescent="0.2">
      <c r="A93" s="432"/>
      <c r="B93" s="432"/>
      <c r="C93" s="432"/>
      <c r="D93" s="432"/>
      <c r="E93" s="432"/>
      <c r="F93" s="432"/>
      <c r="G93" s="109"/>
    </row>
    <row r="94" spans="1:7" ht="16.5" thickBot="1" x14ac:dyDescent="0.25">
      <c r="A94" s="471" t="s">
        <v>363</v>
      </c>
      <c r="B94" s="471"/>
      <c r="C94" s="471"/>
      <c r="D94" s="471"/>
      <c r="E94" s="471"/>
      <c r="F94" s="471"/>
    </row>
    <row r="95" spans="1:7" ht="16.5" thickBot="1" x14ac:dyDescent="0.25">
      <c r="A95" s="183" t="s">
        <v>59</v>
      </c>
      <c r="B95" s="184" t="s">
        <v>60</v>
      </c>
      <c r="C95" s="184" t="s">
        <v>37</v>
      </c>
      <c r="D95" s="185" t="s">
        <v>216</v>
      </c>
      <c r="E95" s="185" t="s">
        <v>61</v>
      </c>
      <c r="F95" s="186" t="s">
        <v>285</v>
      </c>
      <c r="G95" s="109"/>
    </row>
    <row r="96" spans="1:7" ht="11.25" customHeight="1" x14ac:dyDescent="0.2">
      <c r="A96" s="41" t="str">
        <f>+A90</f>
        <v>Coletor</v>
      </c>
      <c r="B96" s="42" t="s">
        <v>8</v>
      </c>
      <c r="C96" s="201">
        <f>E42</f>
        <v>2</v>
      </c>
      <c r="D96" s="202">
        <v>0</v>
      </c>
      <c r="E96" s="235">
        <f>C96*D96</f>
        <v>0</v>
      </c>
      <c r="F96" s="285"/>
      <c r="G96" s="109"/>
    </row>
    <row r="97" spans="1:7" ht="13.9" customHeight="1" x14ac:dyDescent="0.2">
      <c r="A97" s="41" t="str">
        <f>+A91</f>
        <v>Motorista</v>
      </c>
      <c r="B97" s="42" t="s">
        <v>8</v>
      </c>
      <c r="C97" s="201">
        <f>E43</f>
        <v>1</v>
      </c>
      <c r="D97" s="202">
        <v>97.24</v>
      </c>
      <c r="E97" s="235">
        <f>C97*D97</f>
        <v>97.24</v>
      </c>
      <c r="F97" s="281"/>
      <c r="G97" s="109"/>
    </row>
    <row r="98" spans="1:7" ht="11.25" customHeight="1" thickBot="1" x14ac:dyDescent="0.25">
      <c r="A98" s="495" t="s">
        <v>285</v>
      </c>
      <c r="B98" s="469"/>
      <c r="C98" s="470"/>
      <c r="D98" s="277" t="s">
        <v>286</v>
      </c>
      <c r="E98" s="383">
        <f>$B$51</f>
        <v>0.18179999999999999</v>
      </c>
      <c r="F98" s="284">
        <f>SUM(E96:E97)*E98</f>
        <v>17.678231999999998</v>
      </c>
      <c r="G98" s="109"/>
    </row>
    <row r="99" spans="1:7" ht="27.75" customHeight="1" thickBot="1" x14ac:dyDescent="0.25">
      <c r="G99" s="109"/>
    </row>
    <row r="100" spans="1:7" ht="16.5" thickBot="1" x14ac:dyDescent="0.25">
      <c r="A100" s="236" t="s">
        <v>290</v>
      </c>
      <c r="B100" s="237"/>
      <c r="C100" s="237"/>
      <c r="D100" s="172"/>
      <c r="E100" s="172"/>
      <c r="F100" s="238">
        <f>F98+F92+F86+F78+F65</f>
        <v>2022.8279336823393</v>
      </c>
      <c r="G100" s="109"/>
    </row>
    <row r="101" spans="1:7" ht="13.15" customHeight="1" x14ac:dyDescent="0.2">
      <c r="A101" s="494"/>
      <c r="B101" s="494"/>
      <c r="C101" s="494"/>
      <c r="D101" s="494"/>
      <c r="E101" s="494"/>
      <c r="F101" s="494"/>
      <c r="G101" s="109"/>
    </row>
    <row r="102" spans="1:7" x14ac:dyDescent="0.2">
      <c r="A102" s="481" t="s">
        <v>42</v>
      </c>
      <c r="B102" s="481"/>
      <c r="C102" s="481"/>
      <c r="D102" s="481"/>
      <c r="E102" s="481"/>
      <c r="F102" s="481"/>
      <c r="G102" s="109"/>
    </row>
    <row r="103" spans="1:7" ht="13.15" customHeight="1" x14ac:dyDescent="0.2">
      <c r="A103" s="432"/>
      <c r="B103" s="432"/>
      <c r="C103" s="432"/>
      <c r="D103" s="432"/>
      <c r="E103" s="432"/>
      <c r="F103" s="432"/>
      <c r="G103" s="109"/>
    </row>
    <row r="104" spans="1:7" ht="13.9" customHeight="1" x14ac:dyDescent="0.2">
      <c r="A104" s="491" t="s">
        <v>291</v>
      </c>
      <c r="B104" s="491"/>
      <c r="C104" s="491"/>
      <c r="D104" s="491"/>
      <c r="E104" s="491"/>
      <c r="F104" s="491"/>
      <c r="G104" s="109"/>
    </row>
    <row r="105" spans="1:7" ht="13.15" customHeight="1" thickBot="1" x14ac:dyDescent="0.25">
      <c r="A105" s="433"/>
      <c r="B105" s="433"/>
      <c r="C105" s="433"/>
      <c r="D105" s="433"/>
      <c r="E105" s="433"/>
      <c r="F105" s="433"/>
    </row>
    <row r="106" spans="1:7" ht="32.25" thickBot="1" x14ac:dyDescent="0.25">
      <c r="A106" s="183" t="s">
        <v>59</v>
      </c>
      <c r="B106" s="184" t="s">
        <v>60</v>
      </c>
      <c r="C106" s="204" t="s">
        <v>227</v>
      </c>
      <c r="D106" s="185" t="s">
        <v>216</v>
      </c>
      <c r="E106" s="185" t="s">
        <v>61</v>
      </c>
      <c r="F106" s="186" t="s">
        <v>285</v>
      </c>
    </row>
    <row r="107" spans="1:7" s="27" customFormat="1" x14ac:dyDescent="0.25">
      <c r="A107" s="271" t="s">
        <v>62</v>
      </c>
      <c r="B107" s="187" t="s">
        <v>8</v>
      </c>
      <c r="C107" s="289">
        <v>12</v>
      </c>
      <c r="D107" s="188">
        <v>210</v>
      </c>
      <c r="E107" s="189">
        <f>IFERROR(D107/C107,0)</f>
        <v>17.5</v>
      </c>
      <c r="F107" s="280"/>
      <c r="G107" s="206"/>
    </row>
    <row r="108" spans="1:7" x14ac:dyDescent="0.2">
      <c r="A108" s="41" t="s">
        <v>27</v>
      </c>
      <c r="B108" s="42" t="s">
        <v>8</v>
      </c>
      <c r="C108" s="205">
        <v>3</v>
      </c>
      <c r="D108" s="188">
        <v>48</v>
      </c>
      <c r="E108" s="189">
        <f t="shared" ref="E108:E116" si="1">IFERROR(D108/C108,0)</f>
        <v>16</v>
      </c>
      <c r="F108" s="280"/>
    </row>
    <row r="109" spans="1:7" ht="13.15" customHeight="1" x14ac:dyDescent="0.2">
      <c r="A109" s="41" t="s">
        <v>28</v>
      </c>
      <c r="B109" s="42" t="s">
        <v>8</v>
      </c>
      <c r="C109" s="205">
        <v>3</v>
      </c>
      <c r="D109" s="188">
        <v>32.5</v>
      </c>
      <c r="E109" s="189">
        <f t="shared" si="1"/>
        <v>10.833333333333334</v>
      </c>
      <c r="F109" s="280"/>
    </row>
    <row r="110" spans="1:7" x14ac:dyDescent="0.2">
      <c r="A110" s="41" t="s">
        <v>29</v>
      </c>
      <c r="B110" s="42" t="s">
        <v>8</v>
      </c>
      <c r="C110" s="205">
        <v>3</v>
      </c>
      <c r="D110" s="188">
        <v>25.6</v>
      </c>
      <c r="E110" s="189">
        <f t="shared" si="1"/>
        <v>8.5333333333333332</v>
      </c>
      <c r="F110" s="280"/>
    </row>
    <row r="111" spans="1:7" x14ac:dyDescent="0.2">
      <c r="A111" s="41" t="s">
        <v>64</v>
      </c>
      <c r="B111" s="42" t="s">
        <v>45</v>
      </c>
      <c r="C111" s="205">
        <v>3</v>
      </c>
      <c r="D111" s="188">
        <v>54</v>
      </c>
      <c r="E111" s="189">
        <f t="shared" si="1"/>
        <v>18</v>
      </c>
      <c r="F111" s="280"/>
    </row>
    <row r="112" spans="1:7" x14ac:dyDescent="0.2">
      <c r="A112" s="41" t="s">
        <v>87</v>
      </c>
      <c r="B112" s="42" t="s">
        <v>45</v>
      </c>
      <c r="C112" s="205">
        <v>3</v>
      </c>
      <c r="D112" s="188">
        <v>16.8</v>
      </c>
      <c r="E112" s="189">
        <f t="shared" si="1"/>
        <v>5.6000000000000005</v>
      </c>
      <c r="F112" s="280"/>
    </row>
    <row r="113" spans="1:7" ht="11.25" customHeight="1" x14ac:dyDescent="0.2">
      <c r="A113" s="41" t="s">
        <v>63</v>
      </c>
      <c r="B113" s="42" t="s">
        <v>8</v>
      </c>
      <c r="C113" s="205">
        <v>6</v>
      </c>
      <c r="D113" s="188">
        <v>32.5</v>
      </c>
      <c r="E113" s="189">
        <f t="shared" si="1"/>
        <v>5.416666666666667</v>
      </c>
      <c r="F113" s="280"/>
    </row>
    <row r="114" spans="1:7" ht="13.9" customHeight="1" x14ac:dyDescent="0.25">
      <c r="A114" s="287" t="s">
        <v>9</v>
      </c>
      <c r="B114" s="36" t="s">
        <v>8</v>
      </c>
      <c r="C114" s="205">
        <v>6</v>
      </c>
      <c r="D114" s="188">
        <v>28.9</v>
      </c>
      <c r="E114" s="189">
        <f t="shared" si="1"/>
        <v>4.8166666666666664</v>
      </c>
      <c r="F114" s="290"/>
    </row>
    <row r="115" spans="1:7" ht="11.25" customHeight="1" x14ac:dyDescent="0.2">
      <c r="A115" s="41" t="s">
        <v>30</v>
      </c>
      <c r="B115" s="42" t="s">
        <v>45</v>
      </c>
      <c r="C115" s="205">
        <v>1</v>
      </c>
      <c r="D115" s="188">
        <v>13.5</v>
      </c>
      <c r="E115" s="189">
        <f t="shared" si="1"/>
        <v>13.5</v>
      </c>
      <c r="F115" s="280"/>
    </row>
    <row r="116" spans="1:7" x14ac:dyDescent="0.2">
      <c r="A116" s="41" t="s">
        <v>58</v>
      </c>
      <c r="B116" s="42" t="s">
        <v>46</v>
      </c>
      <c r="C116" s="205">
        <v>2</v>
      </c>
      <c r="D116" s="188">
        <v>25.4</v>
      </c>
      <c r="E116" s="189">
        <f t="shared" si="1"/>
        <v>12.7</v>
      </c>
      <c r="F116" s="280"/>
    </row>
    <row r="117" spans="1:7" x14ac:dyDescent="0.2">
      <c r="A117" s="41" t="s">
        <v>185</v>
      </c>
      <c r="B117" s="42" t="s">
        <v>113</v>
      </c>
      <c r="C117" s="207">
        <v>1</v>
      </c>
      <c r="D117" s="188">
        <v>60</v>
      </c>
      <c r="E117" s="191">
        <f t="shared" ref="E117:E118" si="2">C117*D117</f>
        <v>60</v>
      </c>
      <c r="F117" s="280"/>
    </row>
    <row r="118" spans="1:7" x14ac:dyDescent="0.2">
      <c r="A118" s="41" t="s">
        <v>4</v>
      </c>
      <c r="B118" s="42" t="s">
        <v>5</v>
      </c>
      <c r="C118" s="208">
        <f>E42</f>
        <v>2</v>
      </c>
      <c r="D118" s="191">
        <f>+SUM(E107:E117)</f>
        <v>172.9</v>
      </c>
      <c r="E118" s="191">
        <f t="shared" si="2"/>
        <v>345.8</v>
      </c>
      <c r="F118" s="280"/>
    </row>
    <row r="119" spans="1:7" ht="16.5" thickBot="1" x14ac:dyDescent="0.25">
      <c r="A119" s="496" t="s">
        <v>314</v>
      </c>
      <c r="B119" s="463"/>
      <c r="C119" s="497"/>
      <c r="D119" s="277" t="s">
        <v>286</v>
      </c>
      <c r="E119" s="382">
        <f>$B$51</f>
        <v>0.18179999999999999</v>
      </c>
      <c r="F119" s="230">
        <f>E118*E119</f>
        <v>62.866439999999997</v>
      </c>
    </row>
    <row r="120" spans="1:7" x14ac:dyDescent="0.2">
      <c r="A120" s="432"/>
      <c r="B120" s="432"/>
      <c r="C120" s="432"/>
      <c r="D120" s="432"/>
      <c r="E120" s="432"/>
      <c r="F120" s="432"/>
    </row>
    <row r="121" spans="1:7" x14ac:dyDescent="0.2">
      <c r="A121" s="491" t="s">
        <v>292</v>
      </c>
      <c r="B121" s="491"/>
      <c r="C121" s="491"/>
      <c r="D121" s="491"/>
      <c r="E121" s="491"/>
      <c r="F121" s="491"/>
      <c r="G121" s="109"/>
    </row>
    <row r="122" spans="1:7" ht="16.5" thickBot="1" x14ac:dyDescent="0.25">
      <c r="A122" s="433"/>
      <c r="B122" s="433"/>
      <c r="C122" s="433"/>
      <c r="D122" s="433"/>
      <c r="E122" s="433"/>
      <c r="F122" s="433"/>
      <c r="G122" s="109"/>
    </row>
    <row r="123" spans="1:7" ht="32.25" thickBot="1" x14ac:dyDescent="0.25">
      <c r="A123" s="183" t="s">
        <v>59</v>
      </c>
      <c r="B123" s="184" t="s">
        <v>60</v>
      </c>
      <c r="C123" s="204" t="s">
        <v>227</v>
      </c>
      <c r="D123" s="185" t="s">
        <v>216</v>
      </c>
      <c r="E123" s="185" t="s">
        <v>61</v>
      </c>
      <c r="F123" s="186" t="s">
        <v>285</v>
      </c>
      <c r="G123" s="109"/>
    </row>
    <row r="124" spans="1:7" x14ac:dyDescent="0.2">
      <c r="A124" s="271" t="s">
        <v>62</v>
      </c>
      <c r="B124" s="187" t="s">
        <v>8</v>
      </c>
      <c r="C124" s="205">
        <v>12</v>
      </c>
      <c r="D124" s="189">
        <f>+D107</f>
        <v>210</v>
      </c>
      <c r="E124" s="189">
        <f>IFERROR(D124/C124,0)</f>
        <v>17.5</v>
      </c>
      <c r="F124" s="279"/>
      <c r="G124" s="109"/>
    </row>
    <row r="125" spans="1:7" x14ac:dyDescent="0.2">
      <c r="A125" s="41" t="s">
        <v>27</v>
      </c>
      <c r="B125" s="42" t="s">
        <v>8</v>
      </c>
      <c r="C125" s="205">
        <v>3</v>
      </c>
      <c r="D125" s="191">
        <f>+D108</f>
        <v>48</v>
      </c>
      <c r="E125" s="189">
        <f t="shared" ref="E125:E129" si="3">IFERROR(D125/C125,0)</f>
        <v>16</v>
      </c>
      <c r="F125" s="280"/>
      <c r="G125" s="109"/>
    </row>
    <row r="126" spans="1:7" ht="11.25" customHeight="1" x14ac:dyDescent="0.2">
      <c r="A126" s="41" t="s">
        <v>28</v>
      </c>
      <c r="B126" s="42" t="s">
        <v>8</v>
      </c>
      <c r="C126" s="205">
        <v>3</v>
      </c>
      <c r="D126" s="191">
        <f>+D109</f>
        <v>32.5</v>
      </c>
      <c r="E126" s="189">
        <f t="shared" si="3"/>
        <v>10.833333333333334</v>
      </c>
      <c r="F126" s="280"/>
      <c r="G126" s="109"/>
    </row>
    <row r="127" spans="1:7" x14ac:dyDescent="0.2">
      <c r="A127" s="41" t="s">
        <v>64</v>
      </c>
      <c r="B127" s="42" t="s">
        <v>45</v>
      </c>
      <c r="C127" s="205">
        <v>3</v>
      </c>
      <c r="D127" s="191">
        <f>+D111</f>
        <v>54</v>
      </c>
      <c r="E127" s="189">
        <f t="shared" si="3"/>
        <v>18</v>
      </c>
      <c r="F127" s="280"/>
      <c r="G127" s="109"/>
    </row>
    <row r="128" spans="1:7" ht="11.25" customHeight="1" x14ac:dyDescent="0.2">
      <c r="A128" s="41" t="s">
        <v>63</v>
      </c>
      <c r="B128" s="42" t="s">
        <v>8</v>
      </c>
      <c r="C128" s="205">
        <v>6</v>
      </c>
      <c r="D128" s="191">
        <f>+D113</f>
        <v>32.5</v>
      </c>
      <c r="E128" s="189">
        <f t="shared" si="3"/>
        <v>5.416666666666667</v>
      </c>
      <c r="F128" s="280"/>
      <c r="G128" s="109"/>
    </row>
    <row r="129" spans="1:10" x14ac:dyDescent="0.2">
      <c r="A129" s="41" t="s">
        <v>58</v>
      </c>
      <c r="B129" s="42" t="s">
        <v>46</v>
      </c>
      <c r="C129" s="205">
        <v>2</v>
      </c>
      <c r="D129" s="191">
        <f>+D116</f>
        <v>25.4</v>
      </c>
      <c r="E129" s="189">
        <f t="shared" si="3"/>
        <v>12.7</v>
      </c>
      <c r="F129" s="280"/>
      <c r="G129" s="109"/>
    </row>
    <row r="130" spans="1:10" ht="11.25" customHeight="1" x14ac:dyDescent="0.2">
      <c r="A130" s="41" t="s">
        <v>185</v>
      </c>
      <c r="B130" s="42" t="s">
        <v>113</v>
      </c>
      <c r="C130" s="207">
        <v>1</v>
      </c>
      <c r="D130" s="188">
        <v>60</v>
      </c>
      <c r="E130" s="191">
        <f t="shared" ref="E130:E131" si="4">C130*D130</f>
        <v>60</v>
      </c>
      <c r="F130" s="280"/>
      <c r="G130" s="109"/>
    </row>
    <row r="131" spans="1:10" x14ac:dyDescent="0.2">
      <c r="A131" s="41" t="s">
        <v>4</v>
      </c>
      <c r="B131" s="42" t="s">
        <v>5</v>
      </c>
      <c r="C131" s="208">
        <f>E43</f>
        <v>1</v>
      </c>
      <c r="D131" s="191">
        <f>+SUM(E124:E130)</f>
        <v>140.44999999999999</v>
      </c>
      <c r="E131" s="191">
        <f t="shared" si="4"/>
        <v>140.44999999999999</v>
      </c>
      <c r="F131" s="280"/>
      <c r="G131" s="109"/>
    </row>
    <row r="132" spans="1:10" ht="11.25" customHeight="1" thickBot="1" x14ac:dyDescent="0.25">
      <c r="A132" s="496" t="s">
        <v>314</v>
      </c>
      <c r="B132" s="463"/>
      <c r="C132" s="497"/>
      <c r="D132" s="277" t="s">
        <v>286</v>
      </c>
      <c r="E132" s="382">
        <f>$B$51</f>
        <v>0.18179999999999999</v>
      </c>
      <c r="F132" s="230">
        <f>E131*E132</f>
        <v>25.533809999999995</v>
      </c>
      <c r="G132" s="109"/>
    </row>
    <row r="133" spans="1:10" ht="16.5" thickBot="1" x14ac:dyDescent="0.25">
      <c r="G133" s="109"/>
    </row>
    <row r="134" spans="1:10" ht="16.5" thickBot="1" x14ac:dyDescent="0.25">
      <c r="A134" s="236" t="s">
        <v>186</v>
      </c>
      <c r="B134" s="291"/>
      <c r="C134" s="291"/>
      <c r="D134" s="292"/>
      <c r="E134" s="292"/>
      <c r="F134" s="196">
        <f>+F119+F132</f>
        <v>88.40025</v>
      </c>
      <c r="G134" s="109"/>
    </row>
    <row r="135" spans="1:10" x14ac:dyDescent="0.2">
      <c r="G135" s="109"/>
    </row>
    <row r="136" spans="1:10" x14ac:dyDescent="0.2">
      <c r="A136" s="118" t="s">
        <v>51</v>
      </c>
      <c r="G136" s="109"/>
    </row>
    <row r="137" spans="1:10" x14ac:dyDescent="0.2">
      <c r="B137" s="209"/>
      <c r="I137" s="210"/>
      <c r="J137" s="210"/>
    </row>
    <row r="138" spans="1:10" x14ac:dyDescent="0.2">
      <c r="A138" s="231" t="s">
        <v>431</v>
      </c>
    </row>
    <row r="140" spans="1:10" ht="16.5" thickBot="1" x14ac:dyDescent="0.25">
      <c r="A140" s="240" t="s">
        <v>315</v>
      </c>
      <c r="G140" s="109"/>
    </row>
    <row r="141" spans="1:10" ht="16.5" thickBot="1" x14ac:dyDescent="0.25">
      <c r="A141" s="183" t="s">
        <v>59</v>
      </c>
      <c r="B141" s="184" t="s">
        <v>60</v>
      </c>
      <c r="C141" s="184" t="s">
        <v>37</v>
      </c>
      <c r="D141" s="185" t="s">
        <v>216</v>
      </c>
      <c r="E141" s="185" t="s">
        <v>61</v>
      </c>
      <c r="F141" s="186" t="s">
        <v>285</v>
      </c>
    </row>
    <row r="142" spans="1:10" x14ac:dyDescent="0.2">
      <c r="A142" s="271" t="s">
        <v>98</v>
      </c>
      <c r="B142" s="187" t="s">
        <v>8</v>
      </c>
      <c r="C142" s="48">
        <v>1</v>
      </c>
      <c r="D142" s="188">
        <v>137139</v>
      </c>
      <c r="E142" s="234">
        <f>C142*D142</f>
        <v>137139</v>
      </c>
      <c r="F142" s="279"/>
      <c r="I142" s="210"/>
      <c r="J142" s="210"/>
    </row>
    <row r="143" spans="1:10" x14ac:dyDescent="0.2">
      <c r="A143" s="41" t="s">
        <v>92</v>
      </c>
      <c r="B143" s="42" t="s">
        <v>93</v>
      </c>
      <c r="C143" s="40">
        <v>10</v>
      </c>
      <c r="D143" s="192"/>
      <c r="E143" s="233"/>
      <c r="F143" s="280"/>
    </row>
    <row r="144" spans="1:10" x14ac:dyDescent="0.2">
      <c r="A144" s="41" t="s">
        <v>193</v>
      </c>
      <c r="B144" s="42" t="s">
        <v>93</v>
      </c>
      <c r="C144" s="40">
        <v>0</v>
      </c>
      <c r="D144" s="191"/>
      <c r="E144" s="233"/>
      <c r="F144" s="293"/>
    </row>
    <row r="145" spans="1:10" x14ac:dyDescent="0.2">
      <c r="A145" s="41" t="s">
        <v>96</v>
      </c>
      <c r="B145" s="42" t="s">
        <v>2</v>
      </c>
      <c r="C145" s="194">
        <f>IFERROR(VLOOKUP(C143,'5. Depreciação'!A3:B17,2,FALSE),0)</f>
        <v>65.180000000000007</v>
      </c>
      <c r="D145" s="191">
        <f>E142</f>
        <v>137139</v>
      </c>
      <c r="E145" s="233">
        <f>C145*D145/100</f>
        <v>89387.200200000021</v>
      </c>
      <c r="F145" s="280"/>
    </row>
    <row r="146" spans="1:10" ht="16.5" thickBot="1" x14ac:dyDescent="0.25">
      <c r="A146" s="294" t="s">
        <v>47</v>
      </c>
      <c r="B146" s="211" t="s">
        <v>6</v>
      </c>
      <c r="C146" s="211">
        <f>C143*12</f>
        <v>120</v>
      </c>
      <c r="D146" s="212">
        <f>IF(C144&lt;=C143,E145,0)</f>
        <v>89387.200200000021</v>
      </c>
      <c r="E146" s="241">
        <f>IFERROR(D146/C146,0)</f>
        <v>744.89333500000021</v>
      </c>
      <c r="F146" s="280"/>
    </row>
    <row r="147" spans="1:10" ht="16.5" thickTop="1" x14ac:dyDescent="0.2">
      <c r="A147" s="271" t="s">
        <v>432</v>
      </c>
      <c r="B147" s="187" t="s">
        <v>8</v>
      </c>
      <c r="C147" s="187">
        <f>C142</f>
        <v>1</v>
      </c>
      <c r="D147" s="188">
        <v>60000</v>
      </c>
      <c r="E147" s="234">
        <f>C147*D147</f>
        <v>60000</v>
      </c>
      <c r="F147" s="280"/>
    </row>
    <row r="148" spans="1:10" ht="11.25" customHeight="1" x14ac:dyDescent="0.2">
      <c r="A148" s="41" t="s">
        <v>433</v>
      </c>
      <c r="B148" s="42" t="s">
        <v>93</v>
      </c>
      <c r="C148" s="40">
        <v>10</v>
      </c>
      <c r="D148" s="191"/>
      <c r="E148" s="233"/>
      <c r="F148" s="280"/>
    </row>
    <row r="149" spans="1:10" x14ac:dyDescent="0.2">
      <c r="A149" s="41" t="s">
        <v>434</v>
      </c>
      <c r="B149" s="42" t="s">
        <v>93</v>
      </c>
      <c r="C149" s="40">
        <v>0</v>
      </c>
      <c r="D149" s="191"/>
      <c r="E149" s="233"/>
      <c r="F149" s="293"/>
    </row>
    <row r="150" spans="1:10" x14ac:dyDescent="0.2">
      <c r="A150" s="41" t="s">
        <v>435</v>
      </c>
      <c r="B150" s="42" t="s">
        <v>2</v>
      </c>
      <c r="C150" s="213">
        <f>IFERROR(VLOOKUP(C148,'5. Depreciação'!A3:B17,2,FALSE),0)</f>
        <v>65.180000000000007</v>
      </c>
      <c r="D150" s="191">
        <f>E147</f>
        <v>60000</v>
      </c>
      <c r="E150" s="233">
        <f>C150*D150/100</f>
        <v>39108.000000000007</v>
      </c>
      <c r="F150" s="280"/>
      <c r="I150" s="210"/>
      <c r="J150" s="210"/>
    </row>
    <row r="151" spans="1:10" x14ac:dyDescent="0.2">
      <c r="A151" s="295" t="s">
        <v>436</v>
      </c>
      <c r="B151" s="134" t="s">
        <v>6</v>
      </c>
      <c r="C151" s="134">
        <f>C148*12</f>
        <v>120</v>
      </c>
      <c r="D151" s="198">
        <f>IF(C149&lt;=C148,E150,0)</f>
        <v>39108.000000000007</v>
      </c>
      <c r="E151" s="242">
        <f>IFERROR(D151/C151,0)</f>
        <v>325.90000000000003</v>
      </c>
      <c r="F151" s="280"/>
      <c r="I151" s="210"/>
      <c r="J151" s="210"/>
    </row>
    <row r="152" spans="1:10" x14ac:dyDescent="0.2">
      <c r="A152" s="296" t="s">
        <v>230</v>
      </c>
      <c r="B152" s="297"/>
      <c r="C152" s="297"/>
      <c r="D152" s="298"/>
      <c r="E152" s="243">
        <f>E146+E151</f>
        <v>1070.7933350000003</v>
      </c>
      <c r="F152" s="280"/>
      <c r="I152" s="210"/>
      <c r="J152" s="210"/>
    </row>
    <row r="153" spans="1:10" x14ac:dyDescent="0.2">
      <c r="A153" s="295" t="s">
        <v>231</v>
      </c>
      <c r="B153" s="134" t="s">
        <v>8</v>
      </c>
      <c r="C153" s="40">
        <v>1</v>
      </c>
      <c r="D153" s="198">
        <f>E152</f>
        <v>1070.7933350000003</v>
      </c>
      <c r="E153" s="243">
        <f>C153*D153</f>
        <v>1070.7933350000003</v>
      </c>
      <c r="F153" s="280"/>
      <c r="I153" s="210"/>
      <c r="J153" s="210"/>
    </row>
    <row r="154" spans="1:10" ht="16.5" thickBot="1" x14ac:dyDescent="0.25">
      <c r="A154" s="498" t="str">
        <f>F141</f>
        <v>Total (R$)</v>
      </c>
      <c r="B154" s="499"/>
      <c r="C154" s="500"/>
      <c r="D154" s="277" t="s">
        <v>286</v>
      </c>
      <c r="E154" s="383">
        <f>$B$51</f>
        <v>0.18179999999999999</v>
      </c>
      <c r="F154" s="230">
        <f>(E153*E154)*1.08</f>
        <v>210.24384656724007</v>
      </c>
      <c r="I154" s="210"/>
      <c r="J154" s="210"/>
    </row>
    <row r="155" spans="1:10" x14ac:dyDescent="0.2">
      <c r="I155" s="210"/>
      <c r="J155" s="210"/>
    </row>
    <row r="156" spans="1:10" ht="16.5" thickBot="1" x14ac:dyDescent="0.25">
      <c r="A156" s="240" t="s">
        <v>316</v>
      </c>
      <c r="I156" s="210"/>
      <c r="J156" s="210"/>
    </row>
    <row r="157" spans="1:10" ht="16.5" thickBot="1" x14ac:dyDescent="0.25">
      <c r="A157" s="183" t="s">
        <v>59</v>
      </c>
      <c r="B157" s="184" t="s">
        <v>60</v>
      </c>
      <c r="C157" s="184" t="s">
        <v>37</v>
      </c>
      <c r="D157" s="185" t="s">
        <v>216</v>
      </c>
      <c r="E157" s="185" t="s">
        <v>61</v>
      </c>
      <c r="F157" s="186" t="s">
        <v>285</v>
      </c>
      <c r="I157" s="210"/>
      <c r="J157" s="210"/>
    </row>
    <row r="158" spans="1:10" x14ac:dyDescent="0.2">
      <c r="A158" s="271" t="s">
        <v>100</v>
      </c>
      <c r="B158" s="187" t="s">
        <v>8</v>
      </c>
      <c r="C158" s="48">
        <v>1</v>
      </c>
      <c r="D158" s="189">
        <f>D142</f>
        <v>137139</v>
      </c>
      <c r="E158" s="234">
        <f>C158*D158</f>
        <v>137139</v>
      </c>
      <c r="F158" s="299"/>
      <c r="I158" s="210"/>
      <c r="J158" s="210"/>
    </row>
    <row r="159" spans="1:10" x14ac:dyDescent="0.2">
      <c r="A159" s="41" t="s">
        <v>197</v>
      </c>
      <c r="B159" s="42" t="s">
        <v>2</v>
      </c>
      <c r="C159" s="40">
        <v>10.75</v>
      </c>
      <c r="D159" s="191"/>
      <c r="E159" s="233"/>
      <c r="F159" s="293"/>
      <c r="I159" s="210"/>
      <c r="J159" s="210"/>
    </row>
    <row r="160" spans="1:10" x14ac:dyDescent="0.2">
      <c r="A160" s="41" t="s">
        <v>195</v>
      </c>
      <c r="B160" s="42" t="s">
        <v>31</v>
      </c>
      <c r="C160" s="214">
        <f>IFERROR(IF(C144&lt;=C143,E142-(C145/(100*C143)*C144)*E142,E142-E145),0)</f>
        <v>137139</v>
      </c>
      <c r="D160" s="191"/>
      <c r="E160" s="233"/>
      <c r="F160" s="293"/>
      <c r="I160" s="210"/>
      <c r="J160" s="210"/>
    </row>
    <row r="161" spans="1:10" x14ac:dyDescent="0.2">
      <c r="A161" s="41" t="s">
        <v>104</v>
      </c>
      <c r="B161" s="42" t="s">
        <v>31</v>
      </c>
      <c r="C161" s="192">
        <f>IFERROR(IF(C144&gt;=C143,C160,((((C160)-(E142-E145))*(((C143-C144)+1)/(2*(C143-C144))))+(E142-E145))),0)</f>
        <v>96914.759909999993</v>
      </c>
      <c r="D161" s="191"/>
      <c r="E161" s="233"/>
      <c r="F161" s="293"/>
      <c r="I161" s="210"/>
      <c r="J161" s="210"/>
    </row>
    <row r="162" spans="1:10" ht="16.5" thickBot="1" x14ac:dyDescent="0.25">
      <c r="A162" s="294" t="s">
        <v>105</v>
      </c>
      <c r="B162" s="211" t="s">
        <v>31</v>
      </c>
      <c r="C162" s="211"/>
      <c r="D162" s="215">
        <f>C159*C161/12/100</f>
        <v>868.19472419374983</v>
      </c>
      <c r="E162" s="241">
        <f>D162</f>
        <v>868.19472419374983</v>
      </c>
      <c r="F162" s="293"/>
      <c r="I162" s="210"/>
      <c r="J162" s="210"/>
    </row>
    <row r="163" spans="1:10" ht="16.5" thickTop="1" x14ac:dyDescent="0.2">
      <c r="A163" s="271" t="s">
        <v>437</v>
      </c>
      <c r="B163" s="187" t="s">
        <v>8</v>
      </c>
      <c r="C163" s="187">
        <f>C147</f>
        <v>1</v>
      </c>
      <c r="D163" s="189">
        <f>D147</f>
        <v>60000</v>
      </c>
      <c r="E163" s="234">
        <f>C163*D163</f>
        <v>60000</v>
      </c>
      <c r="F163" s="293"/>
      <c r="I163" s="210"/>
      <c r="J163" s="210"/>
    </row>
    <row r="164" spans="1:10" ht="11.25" customHeight="1" x14ac:dyDescent="0.2">
      <c r="A164" s="41" t="s">
        <v>197</v>
      </c>
      <c r="B164" s="42" t="s">
        <v>2</v>
      </c>
      <c r="C164" s="40">
        <v>10.75</v>
      </c>
      <c r="D164" s="191"/>
      <c r="E164" s="233"/>
      <c r="F164" s="293"/>
      <c r="I164" s="210"/>
      <c r="J164" s="210"/>
    </row>
    <row r="165" spans="1:10" x14ac:dyDescent="0.2">
      <c r="A165" s="41" t="s">
        <v>329</v>
      </c>
      <c r="B165" s="42" t="s">
        <v>31</v>
      </c>
      <c r="C165" s="214">
        <f>IFERROR(IF(C149&lt;=C148,E147-(C150/(100*C148)*C149)*E147,E147-E150),0)</f>
        <v>60000</v>
      </c>
      <c r="D165" s="191"/>
      <c r="E165" s="233"/>
      <c r="F165" s="293"/>
      <c r="I165" s="210"/>
      <c r="J165" s="210"/>
    </row>
    <row r="166" spans="1:10" x14ac:dyDescent="0.2">
      <c r="A166" s="41" t="s">
        <v>438</v>
      </c>
      <c r="B166" s="42" t="s">
        <v>31</v>
      </c>
      <c r="C166" s="192">
        <f>IFERROR(IF(C149&gt;=C148,C165,((((C165)-(E147-E150))*(((C148-C149)+1)/(2*(C148-C149))))+(E147-E150))),0)</f>
        <v>42401.399999999994</v>
      </c>
      <c r="D166" s="191"/>
      <c r="E166" s="233"/>
      <c r="F166" s="293"/>
      <c r="I166" s="210"/>
      <c r="J166" s="210"/>
    </row>
    <row r="167" spans="1:10" x14ac:dyDescent="0.2">
      <c r="A167" s="295" t="s">
        <v>439</v>
      </c>
      <c r="B167" s="134" t="s">
        <v>31</v>
      </c>
      <c r="C167" s="134"/>
      <c r="D167" s="216">
        <f>C164*C166/12/100</f>
        <v>379.84587499999992</v>
      </c>
      <c r="E167" s="242">
        <f>D167</f>
        <v>379.84587499999992</v>
      </c>
      <c r="F167" s="293"/>
      <c r="I167" s="210"/>
      <c r="J167" s="210"/>
    </row>
    <row r="168" spans="1:10" x14ac:dyDescent="0.2">
      <c r="A168" s="296" t="s">
        <v>230</v>
      </c>
      <c r="B168" s="297"/>
      <c r="C168" s="297"/>
      <c r="D168" s="298"/>
      <c r="E168" s="243">
        <f>E162+E167</f>
        <v>1248.0405991937498</v>
      </c>
      <c r="F168" s="293"/>
      <c r="I168" s="210"/>
      <c r="J168" s="210"/>
    </row>
    <row r="169" spans="1:10" x14ac:dyDescent="0.2">
      <c r="A169" s="295" t="s">
        <v>231</v>
      </c>
      <c r="B169" s="134" t="s">
        <v>8</v>
      </c>
      <c r="C169" s="338">
        <f>C153</f>
        <v>1</v>
      </c>
      <c r="D169" s="198">
        <f>E168</f>
        <v>1248.0405991937498</v>
      </c>
      <c r="E169" s="243">
        <f>C169*D169</f>
        <v>1248.0405991937498</v>
      </c>
      <c r="F169" s="293"/>
      <c r="I169" s="210"/>
      <c r="J169" s="210"/>
    </row>
    <row r="170" spans="1:10" ht="16.5" thickBot="1" x14ac:dyDescent="0.25">
      <c r="A170" s="498" t="str">
        <f>F157</f>
        <v>Total (R$)</v>
      </c>
      <c r="B170" s="499"/>
      <c r="C170" s="500"/>
      <c r="D170" s="277" t="s">
        <v>286</v>
      </c>
      <c r="E170" s="383">
        <f>$B$51</f>
        <v>0.18179999999999999</v>
      </c>
      <c r="F170" s="230">
        <f>(E169*E170)*1.08</f>
        <v>245.04528340809762</v>
      </c>
      <c r="I170" s="210"/>
      <c r="J170" s="210"/>
    </row>
    <row r="171" spans="1:10" x14ac:dyDescent="0.2">
      <c r="I171" s="210"/>
      <c r="J171" s="210"/>
    </row>
    <row r="172" spans="1:10" ht="11.25" customHeight="1" thickBot="1" x14ac:dyDescent="0.25">
      <c r="A172" s="239" t="s">
        <v>317</v>
      </c>
      <c r="I172" s="210"/>
      <c r="J172" s="210"/>
    </row>
    <row r="173" spans="1:10" ht="16.5" thickBot="1" x14ac:dyDescent="0.25">
      <c r="A173" s="183" t="s">
        <v>59</v>
      </c>
      <c r="B173" s="184" t="s">
        <v>60</v>
      </c>
      <c r="C173" s="184" t="s">
        <v>37</v>
      </c>
      <c r="D173" s="185" t="s">
        <v>216</v>
      </c>
      <c r="E173" s="185" t="s">
        <v>61</v>
      </c>
      <c r="F173" s="186" t="s">
        <v>285</v>
      </c>
      <c r="I173" s="210"/>
      <c r="J173" s="210"/>
    </row>
    <row r="174" spans="1:10" x14ac:dyDescent="0.2">
      <c r="A174" s="271" t="s">
        <v>10</v>
      </c>
      <c r="B174" s="187" t="s">
        <v>8</v>
      </c>
      <c r="C174" s="189">
        <f>C142</f>
        <v>1</v>
      </c>
      <c r="D174" s="189">
        <f>0.01*D142</f>
        <v>1371.39</v>
      </c>
      <c r="E174" s="189">
        <f>C174*D174</f>
        <v>1371.39</v>
      </c>
      <c r="F174" s="279"/>
      <c r="I174" s="210"/>
      <c r="J174" s="210"/>
    </row>
    <row r="175" spans="1:10" x14ac:dyDescent="0.2">
      <c r="A175" s="41" t="s">
        <v>184</v>
      </c>
      <c r="B175" s="42" t="s">
        <v>8</v>
      </c>
      <c r="C175" s="189">
        <f>C142</f>
        <v>1</v>
      </c>
      <c r="D175" s="217">
        <v>85.22</v>
      </c>
      <c r="E175" s="191">
        <f>C175*D175</f>
        <v>85.22</v>
      </c>
      <c r="F175" s="280"/>
      <c r="I175" s="210"/>
      <c r="J175" s="210"/>
    </row>
    <row r="176" spans="1:10" x14ac:dyDescent="0.2">
      <c r="A176" s="41" t="s">
        <v>11</v>
      </c>
      <c r="B176" s="42" t="s">
        <v>8</v>
      </c>
      <c r="C176" s="189">
        <f>C142</f>
        <v>1</v>
      </c>
      <c r="D176" s="217">
        <f>(D142+D147)*0.02</f>
        <v>3942.78</v>
      </c>
      <c r="E176" s="191">
        <f>C176*D176</f>
        <v>3942.78</v>
      </c>
      <c r="F176" s="300"/>
      <c r="I176" s="210"/>
      <c r="J176" s="210"/>
    </row>
    <row r="177" spans="1:10" x14ac:dyDescent="0.2">
      <c r="A177" s="295" t="s">
        <v>12</v>
      </c>
      <c r="B177" s="134" t="s">
        <v>6</v>
      </c>
      <c r="C177" s="134">
        <v>12</v>
      </c>
      <c r="D177" s="198">
        <f>SUM(E174:E176)</f>
        <v>5399.39</v>
      </c>
      <c r="E177" s="198">
        <f>D177/C177</f>
        <v>449.94916666666671</v>
      </c>
      <c r="F177" s="280"/>
      <c r="I177" s="210"/>
      <c r="J177" s="210"/>
    </row>
    <row r="178" spans="1:10" ht="16.5" thickBot="1" x14ac:dyDescent="0.25">
      <c r="A178" s="301" t="str">
        <f>F173</f>
        <v>Total (R$)</v>
      </c>
      <c r="B178" s="302"/>
      <c r="C178" s="302"/>
      <c r="D178" s="277" t="s">
        <v>286</v>
      </c>
      <c r="E178" s="382">
        <f>$B$51</f>
        <v>0.18179999999999999</v>
      </c>
      <c r="F178" s="230">
        <f>E177*E178</f>
        <v>81.800758500000001</v>
      </c>
      <c r="I178" s="210"/>
      <c r="J178" s="210"/>
    </row>
    <row r="179" spans="1:10" x14ac:dyDescent="0.2">
      <c r="I179" s="210"/>
      <c r="J179" s="210"/>
    </row>
    <row r="180" spans="1:10" x14ac:dyDescent="0.2">
      <c r="A180" s="239" t="s">
        <v>318</v>
      </c>
      <c r="B180" s="218"/>
      <c r="G180" s="219"/>
      <c r="H180" s="220"/>
      <c r="I180" s="210"/>
      <c r="J180" s="210"/>
    </row>
    <row r="181" spans="1:10" ht="16.5" thickBot="1" x14ac:dyDescent="0.25">
      <c r="B181" s="218"/>
      <c r="G181" s="219"/>
      <c r="H181" s="220"/>
      <c r="I181" s="210"/>
      <c r="J181" s="210"/>
    </row>
    <row r="182" spans="1:10" ht="16.5" thickBot="1" x14ac:dyDescent="0.25">
      <c r="A182" s="203" t="s">
        <v>108</v>
      </c>
      <c r="B182" s="418">
        <v>747.44</v>
      </c>
      <c r="G182" s="219"/>
      <c r="H182" s="220"/>
      <c r="I182" s="210"/>
      <c r="J182" s="210"/>
    </row>
    <row r="183" spans="1:10" ht="16.5" thickBot="1" x14ac:dyDescent="0.25">
      <c r="B183" s="218"/>
      <c r="G183" s="219"/>
      <c r="H183" s="220"/>
      <c r="I183" s="210"/>
      <c r="J183" s="210"/>
    </row>
    <row r="184" spans="1:10" ht="16.5" thickBot="1" x14ac:dyDescent="0.25">
      <c r="A184" s="183" t="s">
        <v>59</v>
      </c>
      <c r="B184" s="184" t="s">
        <v>60</v>
      </c>
      <c r="C184" s="184" t="s">
        <v>229</v>
      </c>
      <c r="D184" s="185" t="s">
        <v>216</v>
      </c>
      <c r="E184" s="185" t="s">
        <v>61</v>
      </c>
      <c r="F184" s="186" t="s">
        <v>285</v>
      </c>
      <c r="G184" s="219"/>
      <c r="H184" s="220"/>
      <c r="I184" s="210"/>
      <c r="J184" s="210"/>
    </row>
    <row r="185" spans="1:10" x14ac:dyDescent="0.2">
      <c r="A185" s="303" t="s">
        <v>13</v>
      </c>
      <c r="B185" s="245" t="s">
        <v>14</v>
      </c>
      <c r="C185" s="246">
        <v>2.2999999999999998</v>
      </c>
      <c r="D185" s="247">
        <v>6.49</v>
      </c>
      <c r="E185" s="258"/>
      <c r="F185" s="279"/>
      <c r="G185" s="219"/>
      <c r="H185" s="220"/>
      <c r="I185" s="210"/>
      <c r="J185" s="210"/>
    </row>
    <row r="186" spans="1:10" x14ac:dyDescent="0.2">
      <c r="A186" s="304" t="s">
        <v>15</v>
      </c>
      <c r="B186" s="250" t="s">
        <v>16</v>
      </c>
      <c r="C186" s="419">
        <f>SUM(B182)</f>
        <v>747.44</v>
      </c>
      <c r="D186" s="251">
        <f>IFERROR(+D185/C185,"-")</f>
        <v>2.821739130434783</v>
      </c>
      <c r="E186" s="259">
        <f>IFERROR(C186*D186,"-")</f>
        <v>2109.0806956521742</v>
      </c>
      <c r="F186" s="280"/>
      <c r="G186" s="219"/>
      <c r="H186" s="220"/>
      <c r="I186" s="210"/>
      <c r="J186" s="210"/>
    </row>
    <row r="187" spans="1:10" x14ac:dyDescent="0.2">
      <c r="A187" s="81" t="s">
        <v>217</v>
      </c>
      <c r="B187" s="255" t="s">
        <v>17</v>
      </c>
      <c r="C187" s="256">
        <v>6</v>
      </c>
      <c r="D187" s="257">
        <v>17.3</v>
      </c>
      <c r="E187" s="260"/>
      <c r="F187" s="280"/>
      <c r="G187" s="219"/>
      <c r="H187" s="220"/>
      <c r="I187" s="210"/>
      <c r="J187" s="210"/>
    </row>
    <row r="188" spans="1:10" x14ac:dyDescent="0.2">
      <c r="A188" s="80" t="s">
        <v>18</v>
      </c>
      <c r="B188" s="248" t="s">
        <v>16</v>
      </c>
      <c r="C188" s="420">
        <f>C186</f>
        <v>747.44</v>
      </c>
      <c r="D188" s="249">
        <f>+C187*D187/1000</f>
        <v>0.10380000000000002</v>
      </c>
      <c r="E188" s="261">
        <f>C188*D188</f>
        <v>77.584272000000013</v>
      </c>
      <c r="F188" s="280"/>
      <c r="G188" s="219"/>
      <c r="H188" s="220"/>
      <c r="I188" s="210"/>
      <c r="J188" s="210"/>
    </row>
    <row r="189" spans="1:10" x14ac:dyDescent="0.2">
      <c r="A189" s="305" t="s">
        <v>218</v>
      </c>
      <c r="B189" s="252" t="s">
        <v>17</v>
      </c>
      <c r="C189" s="253">
        <v>6.5</v>
      </c>
      <c r="D189" s="254">
        <v>18.8</v>
      </c>
      <c r="E189" s="262"/>
      <c r="F189" s="280"/>
      <c r="I189" s="210"/>
      <c r="J189" s="210"/>
    </row>
    <row r="190" spans="1:10" ht="11.25" customHeight="1" x14ac:dyDescent="0.2">
      <c r="A190" s="80" t="s">
        <v>19</v>
      </c>
      <c r="B190" s="248" t="s">
        <v>16</v>
      </c>
      <c r="C190" s="420">
        <f>C186</f>
        <v>747.44</v>
      </c>
      <c r="D190" s="249">
        <f>+C189*D189/1000</f>
        <v>0.1222</v>
      </c>
      <c r="E190" s="261">
        <f>C190*D190</f>
        <v>91.337168000000005</v>
      </c>
      <c r="F190" s="280"/>
      <c r="I190" s="210"/>
      <c r="J190" s="210"/>
    </row>
    <row r="191" spans="1:10" x14ac:dyDescent="0.2">
      <c r="A191" s="81" t="s">
        <v>219</v>
      </c>
      <c r="B191" s="255" t="s">
        <v>17</v>
      </c>
      <c r="C191" s="256">
        <v>10</v>
      </c>
      <c r="D191" s="257">
        <v>17.75</v>
      </c>
      <c r="E191" s="260"/>
      <c r="F191" s="280"/>
      <c r="I191" s="210"/>
      <c r="J191" s="210"/>
    </row>
    <row r="192" spans="1:10" x14ac:dyDescent="0.2">
      <c r="A192" s="80" t="s">
        <v>20</v>
      </c>
      <c r="B192" s="248" t="s">
        <v>16</v>
      </c>
      <c r="C192" s="420">
        <f>C186</f>
        <v>747.44</v>
      </c>
      <c r="D192" s="249">
        <f>+C191*D191/1000</f>
        <v>0.17749999999999999</v>
      </c>
      <c r="E192" s="261">
        <f>C192*D192</f>
        <v>132.67060000000001</v>
      </c>
      <c r="F192" s="280"/>
      <c r="I192" s="210"/>
      <c r="J192" s="210"/>
    </row>
    <row r="193" spans="1:10" x14ac:dyDescent="0.2">
      <c r="A193" s="81" t="s">
        <v>21</v>
      </c>
      <c r="B193" s="255" t="s">
        <v>22</v>
      </c>
      <c r="C193" s="256">
        <v>2</v>
      </c>
      <c r="D193" s="257">
        <v>16.2</v>
      </c>
      <c r="E193" s="260"/>
      <c r="F193" s="280"/>
      <c r="I193" s="210"/>
      <c r="J193" s="210"/>
    </row>
    <row r="194" spans="1:10" x14ac:dyDescent="0.2">
      <c r="A194" s="80" t="s">
        <v>23</v>
      </c>
      <c r="B194" s="248" t="s">
        <v>16</v>
      </c>
      <c r="C194" s="420">
        <f>C186</f>
        <v>747.44</v>
      </c>
      <c r="D194" s="249">
        <f>+C193*D193/1000</f>
        <v>3.2399999999999998E-2</v>
      </c>
      <c r="E194" s="261">
        <f>C194*D194</f>
        <v>24.217055999999999</v>
      </c>
      <c r="F194" s="280"/>
      <c r="I194" s="210"/>
      <c r="J194" s="210"/>
    </row>
    <row r="195" spans="1:10" ht="11.25" customHeight="1" x14ac:dyDescent="0.2">
      <c r="A195" s="295" t="s">
        <v>228</v>
      </c>
      <c r="B195" s="134" t="s">
        <v>109</v>
      </c>
      <c r="C195" s="221"/>
      <c r="D195" s="222">
        <f>IFERROR(D186+D188+D190+D192+D194,0)</f>
        <v>3.2576391304347831</v>
      </c>
      <c r="E195" s="233"/>
      <c r="F195" s="280"/>
      <c r="I195" s="210"/>
      <c r="J195" s="210"/>
    </row>
    <row r="196" spans="1:10" ht="16.5" thickBot="1" x14ac:dyDescent="0.25">
      <c r="A196" s="460" t="str">
        <f>F184</f>
        <v>Total (R$)</v>
      </c>
      <c r="B196" s="461"/>
      <c r="C196" s="461"/>
      <c r="D196" s="461"/>
      <c r="E196" s="462"/>
      <c r="F196" s="230">
        <f>SUM(E185:E194)</f>
        <v>2434.8897916521742</v>
      </c>
      <c r="I196" s="210"/>
      <c r="J196" s="210"/>
    </row>
    <row r="197" spans="1:10" x14ac:dyDescent="0.2">
      <c r="I197" s="210"/>
      <c r="J197" s="210"/>
    </row>
    <row r="198" spans="1:10" ht="16.5" thickBot="1" x14ac:dyDescent="0.25">
      <c r="A198" s="239" t="s">
        <v>319</v>
      </c>
      <c r="I198" s="210"/>
      <c r="J198" s="210"/>
    </row>
    <row r="199" spans="1:10" ht="16.5" thickBot="1" x14ac:dyDescent="0.25">
      <c r="A199" s="183" t="s">
        <v>59</v>
      </c>
      <c r="B199" s="184" t="s">
        <v>60</v>
      </c>
      <c r="C199" s="184" t="s">
        <v>37</v>
      </c>
      <c r="D199" s="185" t="s">
        <v>216</v>
      </c>
      <c r="E199" s="185" t="s">
        <v>61</v>
      </c>
      <c r="F199" s="186" t="s">
        <v>285</v>
      </c>
      <c r="I199" s="210"/>
      <c r="J199" s="210"/>
    </row>
    <row r="200" spans="1:10" x14ac:dyDescent="0.2">
      <c r="A200" s="271" t="s">
        <v>107</v>
      </c>
      <c r="B200" s="187" t="s">
        <v>109</v>
      </c>
      <c r="C200" s="421">
        <f>C186</f>
        <v>747.44</v>
      </c>
      <c r="D200" s="188">
        <v>0.95</v>
      </c>
      <c r="E200" s="234">
        <f>C200*D200</f>
        <v>710.06799999999998</v>
      </c>
      <c r="F200" s="279"/>
      <c r="I200" s="210"/>
      <c r="J200" s="210"/>
    </row>
    <row r="201" spans="1:10" ht="16.5" thickBot="1" x14ac:dyDescent="0.25">
      <c r="A201" s="460" t="str">
        <f>F199</f>
        <v>Total (R$)</v>
      </c>
      <c r="B201" s="461"/>
      <c r="C201" s="461"/>
      <c r="D201" s="461"/>
      <c r="E201" s="462"/>
      <c r="F201" s="230">
        <f>E200</f>
        <v>710.06799999999998</v>
      </c>
      <c r="I201" s="210"/>
      <c r="J201" s="210"/>
    </row>
    <row r="202" spans="1:10" x14ac:dyDescent="0.2">
      <c r="I202" s="210"/>
      <c r="J202" s="210"/>
    </row>
    <row r="203" spans="1:10" ht="16.5" thickBot="1" x14ac:dyDescent="0.25">
      <c r="A203" s="239" t="s">
        <v>320</v>
      </c>
      <c r="I203" s="210"/>
      <c r="J203" s="210"/>
    </row>
    <row r="204" spans="1:10" ht="11.25" customHeight="1" thickBot="1" x14ac:dyDescent="0.25">
      <c r="A204" s="183" t="s">
        <v>59</v>
      </c>
      <c r="B204" s="184" t="s">
        <v>60</v>
      </c>
      <c r="C204" s="184" t="s">
        <v>37</v>
      </c>
      <c r="D204" s="185" t="s">
        <v>216</v>
      </c>
      <c r="E204" s="185" t="s">
        <v>61</v>
      </c>
      <c r="F204" s="186" t="s">
        <v>285</v>
      </c>
      <c r="I204" s="210"/>
      <c r="J204" s="210"/>
    </row>
    <row r="205" spans="1:10" ht="11.25" customHeight="1" x14ac:dyDescent="0.2">
      <c r="A205" s="271" t="s">
        <v>449</v>
      </c>
      <c r="B205" s="187" t="s">
        <v>8</v>
      </c>
      <c r="C205" s="223">
        <v>6</v>
      </c>
      <c r="D205" s="188">
        <v>1880</v>
      </c>
      <c r="E205" s="234">
        <f>C205*D205</f>
        <v>11280</v>
      </c>
      <c r="F205" s="279"/>
      <c r="G205" s="109"/>
    </row>
    <row r="206" spans="1:10" x14ac:dyDescent="0.2">
      <c r="A206" s="271" t="s">
        <v>110</v>
      </c>
      <c r="B206" s="187" t="s">
        <v>8</v>
      </c>
      <c r="C206" s="223">
        <v>1</v>
      </c>
      <c r="D206" s="224"/>
      <c r="E206" s="234"/>
      <c r="F206" s="280"/>
      <c r="G206" s="109"/>
    </row>
    <row r="207" spans="1:10" ht="11.25" customHeight="1" x14ac:dyDescent="0.2">
      <c r="A207" s="271" t="s">
        <v>65</v>
      </c>
      <c r="B207" s="187" t="s">
        <v>8</v>
      </c>
      <c r="C207" s="189">
        <f>C205*C206</f>
        <v>6</v>
      </c>
      <c r="D207" s="188">
        <v>660</v>
      </c>
      <c r="E207" s="234">
        <f>C207*D207</f>
        <v>3960</v>
      </c>
      <c r="F207" s="280"/>
      <c r="G207" s="109"/>
    </row>
    <row r="208" spans="1:10" x14ac:dyDescent="0.2">
      <c r="A208" s="41" t="s">
        <v>293</v>
      </c>
      <c r="B208" s="42" t="s">
        <v>24</v>
      </c>
      <c r="C208" s="225">
        <v>80000</v>
      </c>
      <c r="D208" s="191">
        <f>E205+E207</f>
        <v>15240</v>
      </c>
      <c r="E208" s="233">
        <f>IFERROR(D208/C208,"-")</f>
        <v>0.1905</v>
      </c>
      <c r="F208" s="280"/>
      <c r="G208" s="109"/>
    </row>
    <row r="209" spans="1:7" ht="11.25" customHeight="1" x14ac:dyDescent="0.2">
      <c r="A209" s="41" t="s">
        <v>52</v>
      </c>
      <c r="B209" s="42" t="s">
        <v>16</v>
      </c>
      <c r="C209" s="421">
        <f>B182</f>
        <v>747.44</v>
      </c>
      <c r="D209" s="191">
        <f>E208</f>
        <v>0.1905</v>
      </c>
      <c r="E209" s="233">
        <f>IFERROR(C209*D209,0)</f>
        <v>142.38732000000002</v>
      </c>
      <c r="F209" s="280"/>
      <c r="G209" s="109"/>
    </row>
    <row r="210" spans="1:7" ht="16.5" thickBot="1" x14ac:dyDescent="0.25">
      <c r="A210" s="460" t="str">
        <f>F204</f>
        <v>Total (R$)</v>
      </c>
      <c r="B210" s="461"/>
      <c r="C210" s="461"/>
      <c r="D210" s="461"/>
      <c r="E210" s="462"/>
      <c r="F210" s="230">
        <f>E209</f>
        <v>142.38732000000002</v>
      </c>
      <c r="G210" s="109"/>
    </row>
    <row r="211" spans="1:7" x14ac:dyDescent="0.2">
      <c r="G211" s="109"/>
    </row>
    <row r="212" spans="1:7" ht="16.5" thickBot="1" x14ac:dyDescent="0.25">
      <c r="G212" s="109"/>
    </row>
    <row r="213" spans="1:7" ht="16.5" thickBot="1" x14ac:dyDescent="0.25">
      <c r="A213" s="236" t="s">
        <v>208</v>
      </c>
      <c r="B213" s="237"/>
      <c r="C213" s="237"/>
      <c r="D213" s="172"/>
      <c r="E213" s="172"/>
      <c r="F213" s="336">
        <f>+SUM(F142:F212)</f>
        <v>3824.4350001275116</v>
      </c>
      <c r="G213" s="109"/>
    </row>
    <row r="214" spans="1:7" x14ac:dyDescent="0.2">
      <c r="G214" s="109"/>
    </row>
    <row r="215" spans="1:7" ht="11.25" customHeight="1" x14ac:dyDescent="0.2">
      <c r="A215" s="142" t="s">
        <v>68</v>
      </c>
      <c r="B215" s="142"/>
      <c r="C215" s="142"/>
      <c r="D215" s="143"/>
      <c r="E215" s="143"/>
      <c r="F215" s="226"/>
      <c r="G215" s="109"/>
    </row>
    <row r="216" spans="1:7" ht="16.5" thickBot="1" x14ac:dyDescent="0.25">
      <c r="G216" s="109"/>
    </row>
    <row r="217" spans="1:7" ht="11.25" customHeight="1" thickBot="1" x14ac:dyDescent="0.25">
      <c r="A217" s="183" t="s">
        <v>59</v>
      </c>
      <c r="B217" s="184" t="s">
        <v>60</v>
      </c>
      <c r="C217" s="184" t="s">
        <v>37</v>
      </c>
      <c r="D217" s="185" t="s">
        <v>216</v>
      </c>
      <c r="E217" s="185" t="s">
        <v>61</v>
      </c>
      <c r="F217" s="186" t="s">
        <v>285</v>
      </c>
      <c r="G217" s="109"/>
    </row>
    <row r="218" spans="1:7" x14ac:dyDescent="0.2">
      <c r="A218" s="41" t="s">
        <v>66</v>
      </c>
      <c r="B218" s="42" t="s">
        <v>8</v>
      </c>
      <c r="C218" s="205">
        <v>0.16666666666666666</v>
      </c>
      <c r="D218" s="188">
        <v>33.85</v>
      </c>
      <c r="E218" s="233">
        <f>C218*D218</f>
        <v>5.6416666666666666</v>
      </c>
      <c r="F218" s="299"/>
    </row>
    <row r="219" spans="1:7" ht="11.25" customHeight="1" x14ac:dyDescent="0.2">
      <c r="A219" s="41" t="s">
        <v>25</v>
      </c>
      <c r="B219" s="42" t="s">
        <v>8</v>
      </c>
      <c r="C219" s="205">
        <v>0.16666666666666666</v>
      </c>
      <c r="D219" s="188">
        <v>34.19</v>
      </c>
      <c r="E219" s="233">
        <f>C219*D219</f>
        <v>5.6983333333333324</v>
      </c>
      <c r="F219" s="293"/>
    </row>
    <row r="220" spans="1:7" x14ac:dyDescent="0.2">
      <c r="A220" s="41" t="s">
        <v>26</v>
      </c>
      <c r="B220" s="42" t="s">
        <v>8</v>
      </c>
      <c r="C220" s="205">
        <v>0.16666666666666666</v>
      </c>
      <c r="D220" s="188">
        <v>21.6</v>
      </c>
      <c r="E220" s="233">
        <f>C220*D220</f>
        <v>3.6</v>
      </c>
      <c r="F220" s="293"/>
    </row>
    <row r="221" spans="1:7" ht="16.5" thickBot="1" x14ac:dyDescent="0.25">
      <c r="A221" s="460" t="str">
        <f>F217</f>
        <v>Total (R$)</v>
      </c>
      <c r="B221" s="461"/>
      <c r="C221" s="461"/>
      <c r="D221" s="461"/>
      <c r="E221" s="462"/>
      <c r="F221" s="230">
        <f>SUM(E218:E220)</f>
        <v>14.94</v>
      </c>
    </row>
    <row r="222" spans="1:7" ht="16.5" thickBot="1" x14ac:dyDescent="0.25"/>
    <row r="223" spans="1:7" ht="16.5" thickBot="1" x14ac:dyDescent="0.25">
      <c r="A223" s="492" t="s">
        <v>209</v>
      </c>
      <c r="B223" s="493"/>
      <c r="C223" s="493"/>
      <c r="D223" s="493"/>
      <c r="E223" s="493"/>
      <c r="F223" s="196">
        <f>+F221</f>
        <v>14.94</v>
      </c>
    </row>
    <row r="225" spans="1:10" x14ac:dyDescent="0.2">
      <c r="A225" s="142" t="s">
        <v>69</v>
      </c>
      <c r="B225" s="142"/>
      <c r="C225" s="142"/>
      <c r="D225" s="143"/>
      <c r="E225" s="143"/>
      <c r="F225" s="226"/>
    </row>
    <row r="226" spans="1:10" s="229" customFormat="1" ht="11.25" customHeight="1" thickBot="1" x14ac:dyDescent="0.25">
      <c r="A226" s="109"/>
      <c r="B226" s="109"/>
      <c r="C226" s="109"/>
      <c r="D226" s="145"/>
      <c r="E226" s="145"/>
      <c r="F226" s="145"/>
      <c r="G226" s="228"/>
    </row>
    <row r="227" spans="1:10" ht="16.5" thickBot="1" x14ac:dyDescent="0.25">
      <c r="A227" s="183" t="s">
        <v>59</v>
      </c>
      <c r="B227" s="184" t="s">
        <v>60</v>
      </c>
      <c r="C227" s="184" t="s">
        <v>37</v>
      </c>
      <c r="D227" s="185" t="s">
        <v>216</v>
      </c>
      <c r="E227" s="185" t="s">
        <v>61</v>
      </c>
      <c r="F227" s="186" t="s">
        <v>285</v>
      </c>
    </row>
    <row r="228" spans="1:10" ht="11.25" customHeight="1" x14ac:dyDescent="0.2">
      <c r="A228" s="41" t="s">
        <v>206</v>
      </c>
      <c r="B228" s="42" t="s">
        <v>54</v>
      </c>
      <c r="C228" s="208">
        <f>C142</f>
        <v>1</v>
      </c>
      <c r="D228" s="217">
        <v>250</v>
      </c>
      <c r="E228" s="233">
        <f>+D228*C228</f>
        <v>250</v>
      </c>
      <c r="F228" s="299"/>
    </row>
    <row r="229" spans="1:10" ht="17.25" customHeight="1" x14ac:dyDescent="0.2">
      <c r="A229" s="41" t="s">
        <v>56</v>
      </c>
      <c r="B229" s="42" t="s">
        <v>6</v>
      </c>
      <c r="C229" s="227">
        <v>60</v>
      </c>
      <c r="D229" s="191">
        <f>SUM(E228:E228)</f>
        <v>250</v>
      </c>
      <c r="E229" s="233">
        <f>+D229/C229</f>
        <v>4.166666666666667</v>
      </c>
      <c r="F229" s="293"/>
    </row>
    <row r="230" spans="1:10" ht="11.25" customHeight="1" x14ac:dyDescent="0.2">
      <c r="A230" s="41" t="s">
        <v>207</v>
      </c>
      <c r="B230" s="42" t="s">
        <v>8</v>
      </c>
      <c r="C230" s="208">
        <f>+C228</f>
        <v>1</v>
      </c>
      <c r="D230" s="217">
        <v>75</v>
      </c>
      <c r="E230" s="233">
        <f>C230*D230</f>
        <v>75</v>
      </c>
      <c r="F230" s="293"/>
    </row>
    <row r="231" spans="1:10" s="145" customFormat="1" x14ac:dyDescent="0.2">
      <c r="A231" s="41" t="s">
        <v>34</v>
      </c>
      <c r="B231" s="42" t="s">
        <v>6</v>
      </c>
      <c r="C231" s="227">
        <v>1</v>
      </c>
      <c r="D231" s="191">
        <f>+E230</f>
        <v>75</v>
      </c>
      <c r="E231" s="233">
        <f>+D231/C231</f>
        <v>75</v>
      </c>
      <c r="F231" s="293"/>
      <c r="H231" s="109"/>
      <c r="I231" s="109"/>
      <c r="J231" s="109"/>
    </row>
    <row r="232" spans="1:10" s="145" customFormat="1" ht="11.25" customHeight="1" thickBot="1" x14ac:dyDescent="0.25">
      <c r="A232" s="460" t="str">
        <f>F227</f>
        <v>Total (R$)</v>
      </c>
      <c r="B232" s="463"/>
      <c r="C232" s="306"/>
      <c r="D232" s="277" t="s">
        <v>286</v>
      </c>
      <c r="E232" s="383">
        <f>$B$51</f>
        <v>0.18179999999999999</v>
      </c>
      <c r="F232" s="307">
        <f>(E229+E231)*E232</f>
        <v>14.3925</v>
      </c>
      <c r="H232" s="109"/>
      <c r="I232" s="109"/>
      <c r="J232" s="109"/>
    </row>
    <row r="233" spans="1:10" s="145" customFormat="1" ht="16.5" thickBot="1" x14ac:dyDescent="0.25">
      <c r="A233" s="109"/>
      <c r="B233" s="109"/>
      <c r="C233" s="109"/>
      <c r="H233" s="109"/>
      <c r="I233" s="109"/>
      <c r="J233" s="109"/>
    </row>
    <row r="234" spans="1:10" s="145" customFormat="1" ht="16.5" thickBot="1" x14ac:dyDescent="0.25">
      <c r="A234" s="236" t="s">
        <v>205</v>
      </c>
      <c r="B234" s="237"/>
      <c r="C234" s="237"/>
      <c r="D234" s="172"/>
      <c r="E234" s="172"/>
      <c r="F234" s="196">
        <f>+F232</f>
        <v>14.3925</v>
      </c>
      <c r="H234" s="109"/>
      <c r="I234" s="109"/>
      <c r="J234" s="109"/>
    </row>
    <row r="235" spans="1:10" s="145" customFormat="1" ht="16.5" thickBot="1" x14ac:dyDescent="0.25">
      <c r="A235" s="109"/>
      <c r="B235" s="109"/>
      <c r="C235" s="109"/>
      <c r="H235" s="109"/>
      <c r="I235" s="109"/>
      <c r="J235" s="109"/>
    </row>
    <row r="236" spans="1:10" s="145" customFormat="1" ht="11.25" customHeight="1" thickBot="1" x14ac:dyDescent="0.25">
      <c r="A236" s="236" t="s">
        <v>210</v>
      </c>
      <c r="B236" s="291"/>
      <c r="C236" s="291"/>
      <c r="D236" s="292"/>
      <c r="E236" s="292"/>
      <c r="F236" s="238">
        <f>+F100+F134+F213+F223+F234</f>
        <v>5964.9956838098506</v>
      </c>
      <c r="H236" s="109"/>
      <c r="I236" s="109"/>
      <c r="J236" s="109"/>
    </row>
    <row r="237" spans="1:10" s="145" customFormat="1" x14ac:dyDescent="0.2">
      <c r="A237" s="109"/>
      <c r="B237" s="109"/>
      <c r="C237" s="109"/>
      <c r="H237" s="109"/>
      <c r="I237" s="109"/>
      <c r="J237" s="109"/>
    </row>
    <row r="238" spans="1:10" s="145" customFormat="1" x14ac:dyDescent="0.2">
      <c r="A238" s="118" t="s">
        <v>83</v>
      </c>
      <c r="B238" s="109"/>
      <c r="C238" s="109"/>
      <c r="H238" s="109"/>
      <c r="I238" s="109"/>
      <c r="J238" s="109"/>
    </row>
    <row r="239" spans="1:10" s="145" customFormat="1" ht="11.25" customHeight="1" thickBot="1" x14ac:dyDescent="0.25">
      <c r="A239" s="109"/>
      <c r="B239" s="109"/>
      <c r="C239" s="109"/>
      <c r="H239" s="109"/>
      <c r="I239" s="109"/>
      <c r="J239" s="109"/>
    </row>
    <row r="240" spans="1:10" s="145" customFormat="1" ht="24.75" customHeight="1" thickBot="1" x14ac:dyDescent="0.25">
      <c r="A240" s="183" t="s">
        <v>59</v>
      </c>
      <c r="B240" s="184" t="s">
        <v>60</v>
      </c>
      <c r="C240" s="184" t="s">
        <v>37</v>
      </c>
      <c r="D240" s="185" t="s">
        <v>216</v>
      </c>
      <c r="E240" s="185" t="s">
        <v>61</v>
      </c>
      <c r="F240" s="186" t="s">
        <v>285</v>
      </c>
      <c r="H240" s="109"/>
      <c r="I240" s="109"/>
      <c r="J240" s="109"/>
    </row>
    <row r="241" spans="1:10" s="145" customFormat="1" ht="12.6" customHeight="1" x14ac:dyDescent="0.2">
      <c r="A241" s="271" t="s">
        <v>33</v>
      </c>
      <c r="B241" s="187" t="s">
        <v>2</v>
      </c>
      <c r="C241" s="194">
        <f>'4.BDI'!B14*100</f>
        <v>27.310000000000002</v>
      </c>
      <c r="D241" s="189">
        <f>+F236</f>
        <v>5964.9956838098506</v>
      </c>
      <c r="E241" s="234">
        <f>C241*D241/100</f>
        <v>1629.0403212484703</v>
      </c>
      <c r="F241" s="279"/>
      <c r="H241" s="109"/>
      <c r="I241" s="109"/>
      <c r="J241" s="109"/>
    </row>
    <row r="242" spans="1:10" s="145" customFormat="1" ht="16.5" thickBot="1" x14ac:dyDescent="0.25">
      <c r="A242" s="460" t="str">
        <f>F240</f>
        <v>Total (R$)</v>
      </c>
      <c r="B242" s="463"/>
      <c r="C242" s="463"/>
      <c r="D242" s="463"/>
      <c r="E242" s="463"/>
      <c r="F242" s="288">
        <f>+E241</f>
        <v>1629.0403212484703</v>
      </c>
      <c r="H242" s="109"/>
      <c r="I242" s="109"/>
      <c r="J242" s="109"/>
    </row>
    <row r="243" spans="1:10" s="145" customFormat="1" ht="9.75" customHeight="1" thickBot="1" x14ac:dyDescent="0.25">
      <c r="A243" s="109"/>
      <c r="B243" s="109"/>
      <c r="C243" s="109"/>
      <c r="H243" s="109"/>
      <c r="I243" s="109"/>
      <c r="J243" s="109"/>
    </row>
    <row r="244" spans="1:10" s="145" customFormat="1" ht="9.75" customHeight="1" thickBot="1" x14ac:dyDescent="0.25">
      <c r="A244" s="236" t="s">
        <v>220</v>
      </c>
      <c r="B244" s="291"/>
      <c r="C244" s="291"/>
      <c r="D244" s="292"/>
      <c r="E244" s="292"/>
      <c r="F244" s="238">
        <f>F242</f>
        <v>1629.0403212484703</v>
      </c>
      <c r="H244" s="109"/>
      <c r="I244" s="109"/>
      <c r="J244" s="109"/>
    </row>
    <row r="245" spans="1:10" s="145" customFormat="1" ht="9.75" customHeight="1" x14ac:dyDescent="0.2">
      <c r="A245" s="142"/>
      <c r="B245" s="142"/>
      <c r="C245" s="142"/>
      <c r="D245" s="143"/>
      <c r="E245" s="143"/>
      <c r="F245" s="226"/>
      <c r="H245" s="109"/>
      <c r="I245" s="109"/>
      <c r="J245" s="109"/>
    </row>
    <row r="246" spans="1:10" ht="16.5" thickBot="1" x14ac:dyDescent="0.25"/>
    <row r="247" spans="1:10" ht="16.5" thickBot="1" x14ac:dyDescent="0.25">
      <c r="A247" s="236" t="s">
        <v>211</v>
      </c>
      <c r="B247" s="291"/>
      <c r="C247" s="291"/>
      <c r="D247" s="292"/>
      <c r="E247" s="292"/>
      <c r="F247" s="238">
        <f>F236+F244</f>
        <v>7594.0360050583204</v>
      </c>
    </row>
    <row r="248" spans="1:10" x14ac:dyDescent="0.2">
      <c r="A248" s="142"/>
      <c r="B248" s="142"/>
      <c r="C248" s="142"/>
      <c r="D248" s="143"/>
      <c r="E248" s="143"/>
      <c r="F248" s="143"/>
    </row>
    <row r="250" spans="1:10" x14ac:dyDescent="0.2">
      <c r="A250" s="144"/>
      <c r="B250" s="145"/>
      <c r="C250" s="145"/>
    </row>
    <row r="251" spans="1:10" x14ac:dyDescent="0.2">
      <c r="A251" s="144"/>
      <c r="B251" s="145"/>
      <c r="C251" s="145"/>
    </row>
    <row r="252" spans="1:10" x14ac:dyDescent="0.2">
      <c r="A252" s="144"/>
      <c r="B252" s="145"/>
      <c r="C252" s="145"/>
    </row>
    <row r="275" spans="4:7" ht="9" customHeight="1" x14ac:dyDescent="0.2">
      <c r="G275" s="109"/>
    </row>
    <row r="282" spans="4:7" x14ac:dyDescent="0.2">
      <c r="D282" s="109"/>
      <c r="E282" s="109"/>
      <c r="F282" s="109"/>
    </row>
  </sheetData>
  <mergeCells count="56">
    <mergeCell ref="A1:F1"/>
    <mergeCell ref="A2:F2"/>
    <mergeCell ref="A3:F3"/>
    <mergeCell ref="A4:F4"/>
    <mergeCell ref="A5:F5"/>
    <mergeCell ref="A6:F6"/>
    <mergeCell ref="A7:F7"/>
    <mergeCell ref="A8:F8"/>
    <mergeCell ref="A13:F13"/>
    <mergeCell ref="A14:F14"/>
    <mergeCell ref="A17:F17"/>
    <mergeCell ref="A25:C25"/>
    <mergeCell ref="A40:E40"/>
    <mergeCell ref="A41:D41"/>
    <mergeCell ref="A46:D46"/>
    <mergeCell ref="A66:F66"/>
    <mergeCell ref="A67:F67"/>
    <mergeCell ref="A53:F53"/>
    <mergeCell ref="A54:F54"/>
    <mergeCell ref="A55:F55"/>
    <mergeCell ref="A61:D61"/>
    <mergeCell ref="A63:D63"/>
    <mergeCell ref="A65:C65"/>
    <mergeCell ref="A87:F87"/>
    <mergeCell ref="A88:F88"/>
    <mergeCell ref="A92:E92"/>
    <mergeCell ref="A93:F93"/>
    <mergeCell ref="A94:F94"/>
    <mergeCell ref="A80:F80"/>
    <mergeCell ref="A86:E86"/>
    <mergeCell ref="A68:F68"/>
    <mergeCell ref="A74:D74"/>
    <mergeCell ref="A76:D76"/>
    <mergeCell ref="A78:C78"/>
    <mergeCell ref="A79:F79"/>
    <mergeCell ref="A121:F121"/>
    <mergeCell ref="A122:F122"/>
    <mergeCell ref="A132:C132"/>
    <mergeCell ref="A154:C154"/>
    <mergeCell ref="A98:C98"/>
    <mergeCell ref="A15:F15"/>
    <mergeCell ref="A242:E242"/>
    <mergeCell ref="A196:E196"/>
    <mergeCell ref="A201:E201"/>
    <mergeCell ref="A210:E210"/>
    <mergeCell ref="A221:E221"/>
    <mergeCell ref="A223:E223"/>
    <mergeCell ref="A232:B232"/>
    <mergeCell ref="A170:C170"/>
    <mergeCell ref="A101:F101"/>
    <mergeCell ref="A102:F102"/>
    <mergeCell ref="A103:F103"/>
    <mergeCell ref="A104:F104"/>
    <mergeCell ref="A105:F105"/>
    <mergeCell ref="A119:C119"/>
    <mergeCell ref="A120:F120"/>
  </mergeCells>
  <hyperlinks>
    <hyperlink ref="A156" location="AbaRemun" display="3.1.2. Remuneração do Capital"/>
    <hyperlink ref="A140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58" fitToHeight="0" orientation="portrait" r:id="rId1"/>
  <headerFooter alignWithMargins="0">
    <oddFooter>&amp;R&amp;P de &amp;N</oddFooter>
  </headerFooter>
  <rowBreaks count="4" manualBreakCount="4">
    <brk id="52" max="5" man="1"/>
    <brk id="79" max="5" man="1"/>
    <brk id="135" max="5" man="1"/>
    <brk id="197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66"/>
  <sheetViews>
    <sheetView view="pageBreakPreview" topLeftCell="A133" zoomScaleNormal="100" zoomScaleSheetLayoutView="100" workbookViewId="0">
      <selection activeCell="E148" sqref="E148"/>
    </sheetView>
  </sheetViews>
  <sheetFormatPr defaultColWidth="9.140625" defaultRowHeight="15.75" x14ac:dyDescent="0.2"/>
  <cols>
    <col min="1" max="1" width="54" style="109" customWidth="1"/>
    <col min="2" max="2" width="19.85546875" style="109" customWidth="1"/>
    <col min="3" max="3" width="14.7109375" style="109" customWidth="1"/>
    <col min="4" max="4" width="14.7109375" style="145" customWidth="1"/>
    <col min="5" max="5" width="17.28515625" style="145" customWidth="1"/>
    <col min="6" max="6" width="20.85546875" style="145" customWidth="1"/>
    <col min="7" max="7" width="19.42578125" style="145" customWidth="1"/>
    <col min="8" max="8" width="9.140625" style="109"/>
    <col min="9" max="9" width="14.5703125" style="109" customWidth="1"/>
    <col min="10" max="10" width="13.42578125" style="109" customWidth="1"/>
    <col min="11" max="16384" width="9.140625" style="109"/>
  </cols>
  <sheetData>
    <row r="1" spans="1:10" x14ac:dyDescent="0.2">
      <c r="A1" s="431" t="s">
        <v>189</v>
      </c>
      <c r="B1" s="431"/>
      <c r="C1" s="431"/>
      <c r="D1" s="431"/>
      <c r="E1" s="431"/>
      <c r="F1" s="431"/>
    </row>
    <row r="2" spans="1:10" ht="15.6" customHeight="1" x14ac:dyDescent="0.2">
      <c r="A2" s="432" t="s">
        <v>283</v>
      </c>
      <c r="B2" s="432"/>
      <c r="C2" s="432"/>
      <c r="D2" s="432"/>
      <c r="E2" s="432"/>
      <c r="F2" s="432"/>
    </row>
    <row r="3" spans="1:10" ht="15.6" customHeight="1" x14ac:dyDescent="0.2">
      <c r="A3" s="472" t="s">
        <v>284</v>
      </c>
      <c r="B3" s="472"/>
      <c r="C3" s="472"/>
      <c r="D3" s="472"/>
      <c r="E3" s="472"/>
      <c r="F3" s="472"/>
    </row>
    <row r="4" spans="1:10" ht="16.5" customHeight="1" thickBot="1" x14ac:dyDescent="0.25">
      <c r="A4" s="433"/>
      <c r="B4" s="433"/>
      <c r="C4" s="433"/>
      <c r="D4" s="433"/>
      <c r="E4" s="433"/>
      <c r="F4" s="433"/>
    </row>
    <row r="5" spans="1:10" x14ac:dyDescent="0.2">
      <c r="A5" s="434" t="s">
        <v>397</v>
      </c>
      <c r="B5" s="435"/>
      <c r="C5" s="435"/>
      <c r="D5" s="435"/>
      <c r="E5" s="435"/>
      <c r="F5" s="436"/>
    </row>
    <row r="6" spans="1:10" ht="21.75" customHeight="1" thickBot="1" x14ac:dyDescent="0.25">
      <c r="A6" s="511" t="s">
        <v>40</v>
      </c>
      <c r="B6" s="512"/>
      <c r="C6" s="512"/>
      <c r="D6" s="512"/>
      <c r="E6" s="512"/>
      <c r="F6" s="513"/>
    </row>
    <row r="7" spans="1:10" ht="46.5" customHeight="1" x14ac:dyDescent="0.2">
      <c r="A7" s="505" t="s">
        <v>459</v>
      </c>
      <c r="B7" s="505"/>
      <c r="C7" s="505"/>
      <c r="D7" s="505"/>
      <c r="E7" s="505"/>
      <c r="F7" s="505"/>
    </row>
    <row r="8" spans="1:10" ht="36" customHeight="1" x14ac:dyDescent="0.2">
      <c r="A8" s="504" t="s">
        <v>482</v>
      </c>
      <c r="B8" s="505"/>
      <c r="C8" s="505"/>
      <c r="D8" s="505"/>
      <c r="E8" s="505"/>
      <c r="F8" s="505"/>
    </row>
    <row r="9" spans="1:10" ht="32.25" customHeight="1" x14ac:dyDescent="0.2">
      <c r="A9" s="505" t="s">
        <v>402</v>
      </c>
      <c r="B9" s="505"/>
      <c r="C9" s="505"/>
      <c r="D9" s="505"/>
      <c r="E9" s="505"/>
      <c r="F9" s="505"/>
    </row>
    <row r="10" spans="1:10" ht="10.9" customHeight="1" thickBot="1" x14ac:dyDescent="0.25">
      <c r="A10" s="347"/>
      <c r="B10" s="348"/>
      <c r="C10" s="348"/>
      <c r="D10" s="349"/>
      <c r="E10" s="349"/>
      <c r="F10" s="349"/>
    </row>
    <row r="11" spans="1:10" ht="15.75" customHeight="1" thickBot="1" x14ac:dyDescent="0.25">
      <c r="A11" s="428" t="s">
        <v>188</v>
      </c>
      <c r="B11" s="429"/>
      <c r="C11" s="429"/>
      <c r="D11" s="429"/>
      <c r="E11" s="429"/>
      <c r="F11" s="430"/>
    </row>
    <row r="12" spans="1:10" ht="15.75" customHeight="1" x14ac:dyDescent="0.2">
      <c r="A12" s="150" t="s">
        <v>187</v>
      </c>
      <c r="B12" s="151"/>
      <c r="C12" s="151"/>
      <c r="D12" s="152"/>
      <c r="E12" s="153" t="s">
        <v>35</v>
      </c>
      <c r="F12" s="154" t="s">
        <v>2</v>
      </c>
      <c r="J12" s="109" t="e">
        <f>#REF!+I10</f>
        <v>#REF!</v>
      </c>
    </row>
    <row r="13" spans="1:10" s="118" customFormat="1" ht="15.75" customHeight="1" x14ac:dyDescent="0.2">
      <c r="A13" s="155" t="str">
        <f>A51</f>
        <v>1. Mão-de-obra</v>
      </c>
      <c r="B13" s="156"/>
      <c r="C13" s="157"/>
      <c r="D13" s="157"/>
      <c r="E13" s="158">
        <f>SUM(E14:E18)</f>
        <v>1588.3831620647379</v>
      </c>
      <c r="F13" s="159">
        <f>IFERROR(E13/$E$31,0)</f>
        <v>0.44988869923255503</v>
      </c>
      <c r="G13" s="144"/>
    </row>
    <row r="14" spans="1:10" s="118" customFormat="1" ht="15.75" customHeight="1" x14ac:dyDescent="0.2">
      <c r="A14" s="160" t="str">
        <f>A53</f>
        <v>1.1. Reciclador Turno do Dia</v>
      </c>
      <c r="B14" s="156"/>
      <c r="C14" s="157"/>
      <c r="D14" s="157"/>
      <c r="E14" s="413">
        <f>F63</f>
        <v>641.75615951042732</v>
      </c>
      <c r="F14" s="346">
        <f t="shared" ref="F14:F30" si="0">IFERROR(E14/$E$31,0)</f>
        <v>0.18176901563935044</v>
      </c>
      <c r="G14" s="144"/>
    </row>
    <row r="15" spans="1:10" ht="15.75" customHeight="1" x14ac:dyDescent="0.2">
      <c r="A15" s="160" t="str">
        <f>A66</f>
        <v>1.2. Operador Turno do Dia</v>
      </c>
      <c r="B15" s="161"/>
      <c r="C15" s="162"/>
      <c r="D15" s="162"/>
      <c r="E15" s="163">
        <f>F76</f>
        <v>378.08740255431064</v>
      </c>
      <c r="F15" s="164">
        <f t="shared" si="0"/>
        <v>0.10708829821027878</v>
      </c>
    </row>
    <row r="16" spans="1:10" ht="15.75" customHeight="1" x14ac:dyDescent="0.2">
      <c r="A16" s="160" t="str">
        <f>A79</f>
        <v>1.3. Vale Transporte</v>
      </c>
      <c r="B16" s="161"/>
      <c r="C16" s="162"/>
      <c r="D16" s="162"/>
      <c r="E16" s="163">
        <f>F85</f>
        <v>40.699600000000032</v>
      </c>
      <c r="F16" s="164">
        <f t="shared" si="0"/>
        <v>1.1527627930457144E-2</v>
      </c>
    </row>
    <row r="17" spans="1:7" ht="15.75" customHeight="1" x14ac:dyDescent="0.2">
      <c r="A17" s="160" t="str">
        <f>A87</f>
        <v>1.4. Vale-refeição (diário)</v>
      </c>
      <c r="B17" s="161"/>
      <c r="C17" s="162"/>
      <c r="D17" s="162"/>
      <c r="E17" s="163">
        <f>F91</f>
        <v>527.84</v>
      </c>
      <c r="F17" s="164">
        <f t="shared" si="0"/>
        <v>0.14950375745246869</v>
      </c>
    </row>
    <row r="18" spans="1:7" ht="15.75" customHeight="1" x14ac:dyDescent="0.2">
      <c r="A18" s="160" t="str">
        <f>A93</f>
        <v>1.5. Auxílio Alimentação (mensal)</v>
      </c>
      <c r="B18" s="161"/>
      <c r="C18" s="162"/>
      <c r="D18" s="162"/>
      <c r="E18" s="163">
        <f>F97</f>
        <v>0</v>
      </c>
      <c r="F18" s="164">
        <f t="shared" si="0"/>
        <v>0</v>
      </c>
    </row>
    <row r="19" spans="1:7" s="118" customFormat="1" ht="15.75" customHeight="1" x14ac:dyDescent="0.2">
      <c r="A19" s="474" t="str">
        <f>A101</f>
        <v>2. Uniformes e Equipamentos de Proteção Individual</v>
      </c>
      <c r="B19" s="475"/>
      <c r="C19" s="475"/>
      <c r="D19" s="157"/>
      <c r="E19" s="158">
        <f>+F116</f>
        <v>36.317186100000001</v>
      </c>
      <c r="F19" s="159">
        <f t="shared" si="0"/>
        <v>1.0286366668025475E-2</v>
      </c>
      <c r="G19" s="144"/>
    </row>
    <row r="20" spans="1:7" s="118" customFormat="1" ht="15.75" customHeight="1" x14ac:dyDescent="0.2">
      <c r="A20" s="337" t="str">
        <f>A118</f>
        <v>3. Veículos e Equipamentos</v>
      </c>
      <c r="B20" s="166"/>
      <c r="C20" s="157"/>
      <c r="D20" s="157"/>
      <c r="E20" s="158">
        <f>+F196</f>
        <v>1117.1064514228499</v>
      </c>
      <c r="F20" s="159">
        <f t="shared" si="0"/>
        <v>0.3164057516711688</v>
      </c>
      <c r="G20" s="144"/>
    </row>
    <row r="21" spans="1:7" ht="15.75" customHeight="1" x14ac:dyDescent="0.2">
      <c r="A21" s="167" t="str">
        <f>A120</f>
        <v>3.2. Estacão de transbordo com capacidade mínima de 0,500 Toneladas dia</v>
      </c>
      <c r="B21" s="168"/>
      <c r="C21" s="162"/>
      <c r="D21" s="162"/>
      <c r="E21" s="163">
        <f>SUM(E23:E27)</f>
        <v>1020.05721186285</v>
      </c>
      <c r="F21" s="164">
        <f t="shared" si="0"/>
        <v>0.28891782735295729</v>
      </c>
    </row>
    <row r="22" spans="1:7" ht="15.75" customHeight="1" x14ac:dyDescent="0.2">
      <c r="A22" s="167" t="str">
        <f>A122</f>
        <v>3.2.1. Depreciação</v>
      </c>
      <c r="B22" s="168"/>
      <c r="C22" s="162"/>
      <c r="D22" s="162"/>
      <c r="E22" s="163">
        <f>F136</f>
        <v>97.049239560000018</v>
      </c>
      <c r="F22" s="164">
        <f t="shared" si="0"/>
        <v>2.7487924318211523E-2</v>
      </c>
    </row>
    <row r="23" spans="1:7" ht="15.75" customHeight="1" x14ac:dyDescent="0.2">
      <c r="A23" s="167" t="str">
        <f>A138</f>
        <v>3.2.2. Remuneração do Capital</v>
      </c>
      <c r="B23" s="168"/>
      <c r="C23" s="162"/>
      <c r="D23" s="162"/>
      <c r="E23" s="163">
        <f>F152</f>
        <v>113.11369536285</v>
      </c>
      <c r="F23" s="164">
        <f t="shared" si="0"/>
        <v>3.2037970741285157E-2</v>
      </c>
    </row>
    <row r="24" spans="1:7" ht="15.75" customHeight="1" x14ac:dyDescent="0.2">
      <c r="A24" s="167" t="str">
        <f>A154</f>
        <v>3.2.3. Impostos e Seguros</v>
      </c>
      <c r="B24" s="168"/>
      <c r="C24" s="162"/>
      <c r="D24" s="162"/>
      <c r="E24" s="163">
        <f>F160</f>
        <v>26.832316499999997</v>
      </c>
      <c r="F24" s="164">
        <f t="shared" si="0"/>
        <v>7.5999017465593231E-3</v>
      </c>
    </row>
    <row r="25" spans="1:7" ht="15.75" customHeight="1" x14ac:dyDescent="0.2">
      <c r="A25" s="167" t="str">
        <f>A162</f>
        <v>3.2.4. Consumos</v>
      </c>
      <c r="B25" s="168"/>
      <c r="C25" s="162"/>
      <c r="D25" s="162"/>
      <c r="E25" s="163">
        <f>F178</f>
        <v>842.13919999999996</v>
      </c>
      <c r="F25" s="164">
        <f t="shared" si="0"/>
        <v>0.23852488386256443</v>
      </c>
    </row>
    <row r="26" spans="1:7" ht="15.75" customHeight="1" x14ac:dyDescent="0.2">
      <c r="A26" s="167" t="str">
        <f>A180</f>
        <v>3.2.5. Manutenção</v>
      </c>
      <c r="B26" s="168"/>
      <c r="C26" s="162"/>
      <c r="D26" s="162"/>
      <c r="E26" s="163">
        <f>F183</f>
        <v>19.52</v>
      </c>
      <c r="F26" s="164">
        <f t="shared" si="0"/>
        <v>5.528783997939127E-3</v>
      </c>
    </row>
    <row r="27" spans="1:7" ht="15.75" customHeight="1" x14ac:dyDescent="0.2">
      <c r="A27" s="167" t="str">
        <f>A184</f>
        <v>3.2.6. Pneus</v>
      </c>
      <c r="B27" s="168"/>
      <c r="C27" s="162"/>
      <c r="D27" s="162"/>
      <c r="E27" s="163">
        <f>F193</f>
        <v>18.452000000000002</v>
      </c>
      <c r="F27" s="164">
        <f t="shared" si="0"/>
        <v>5.2262870046092614E-3</v>
      </c>
    </row>
    <row r="28" spans="1:7" s="118" customFormat="1" ht="15.75" customHeight="1" x14ac:dyDescent="0.2">
      <c r="A28" s="337" t="str">
        <f>A198</f>
        <v>4. Ferramentas e Materiais de Consumo</v>
      </c>
      <c r="B28" s="166"/>
      <c r="C28" s="157"/>
      <c r="D28" s="157"/>
      <c r="E28" s="158">
        <f>+F206</f>
        <v>24.23833333333333</v>
      </c>
      <c r="F28" s="159">
        <f t="shared" si="0"/>
        <v>6.8651900343262217E-3</v>
      </c>
      <c r="G28" s="144"/>
    </row>
    <row r="29" spans="1:7" s="118" customFormat="1" ht="15.75" customHeight="1" x14ac:dyDescent="0.2">
      <c r="A29" s="337" t="str">
        <f>A208</f>
        <v>5. Monitoramento da Frota</v>
      </c>
      <c r="B29" s="166"/>
      <c r="C29" s="157"/>
      <c r="D29" s="157"/>
      <c r="E29" s="158">
        <f>+F217</f>
        <v>7.19625</v>
      </c>
      <c r="F29" s="159">
        <f t="shared" si="0"/>
        <v>2.0382434346910574E-3</v>
      </c>
      <c r="G29" s="144"/>
    </row>
    <row r="30" spans="1:7" s="118" customFormat="1" ht="15.75" customHeight="1" thickBot="1" x14ac:dyDescent="0.25">
      <c r="A30" s="337" t="str">
        <f>A221</f>
        <v>6. Benefícios e Despesas Indiretas - BDI</v>
      </c>
      <c r="B30" s="166"/>
      <c r="C30" s="157"/>
      <c r="D30" s="157"/>
      <c r="E30" s="169">
        <f>+F227</f>
        <v>757.3722216757036</v>
      </c>
      <c r="F30" s="159">
        <f t="shared" si="0"/>
        <v>0.21451574895923337</v>
      </c>
      <c r="G30" s="144"/>
    </row>
    <row r="31" spans="1:7" ht="15.75" customHeight="1" thickBot="1" x14ac:dyDescent="0.25">
      <c r="A31" s="170" t="s">
        <v>396</v>
      </c>
      <c r="B31" s="171"/>
      <c r="C31" s="172"/>
      <c r="D31" s="172"/>
      <c r="E31" s="173">
        <f>E13+E19+E20+E28+E29+E30</f>
        <v>3530.613604596625</v>
      </c>
      <c r="F31" s="174">
        <f>F13+F19+F20+F28+F29+F30</f>
        <v>0.99999999999999978</v>
      </c>
    </row>
    <row r="33" spans="1:6" ht="16.5" thickBot="1" x14ac:dyDescent="0.25"/>
    <row r="34" spans="1:6" ht="15" customHeight="1" thickBot="1" x14ac:dyDescent="0.25">
      <c r="A34" s="506" t="s">
        <v>88</v>
      </c>
      <c r="B34" s="507"/>
      <c r="C34" s="507"/>
      <c r="D34" s="507"/>
      <c r="E34" s="508"/>
    </row>
    <row r="35" spans="1:6" ht="15" customHeight="1" x14ac:dyDescent="0.2">
      <c r="A35" s="509" t="s">
        <v>36</v>
      </c>
      <c r="B35" s="510"/>
      <c r="C35" s="510"/>
      <c r="D35" s="510"/>
      <c r="E35" s="333" t="s">
        <v>37</v>
      </c>
    </row>
    <row r="36" spans="1:6" ht="15" customHeight="1" x14ac:dyDescent="0.2">
      <c r="A36" s="323" t="str">
        <f>+A53</f>
        <v>1.1. Reciclador Turno do Dia</v>
      </c>
      <c r="B36" s="195"/>
      <c r="C36" s="195"/>
      <c r="D36" s="43"/>
      <c r="E36" s="175">
        <v>2</v>
      </c>
    </row>
    <row r="37" spans="1:6" ht="15" customHeight="1" x14ac:dyDescent="0.2">
      <c r="A37" s="323" t="str">
        <f>+A66</f>
        <v>1.2. Operador Turno do Dia</v>
      </c>
      <c r="B37" s="195"/>
      <c r="C37" s="195"/>
      <c r="D37" s="43"/>
      <c r="E37" s="175">
        <v>1</v>
      </c>
    </row>
    <row r="38" spans="1:6" ht="15" customHeight="1" x14ac:dyDescent="0.2">
      <c r="A38" s="324" t="s">
        <v>392</v>
      </c>
      <c r="B38" s="322"/>
      <c r="C38" s="322"/>
      <c r="D38" s="43"/>
      <c r="E38" s="325">
        <f>SUM(E36:E37)</f>
        <v>3</v>
      </c>
    </row>
    <row r="39" spans="1:6" ht="15" customHeight="1" x14ac:dyDescent="0.2">
      <c r="A39" s="324"/>
      <c r="B39" s="322"/>
      <c r="C39" s="195"/>
      <c r="D39" s="195"/>
      <c r="E39" s="326"/>
    </row>
    <row r="40" spans="1:6" ht="15" customHeight="1" x14ac:dyDescent="0.2">
      <c r="A40" s="482" t="s">
        <v>364</v>
      </c>
      <c r="B40" s="483"/>
      <c r="C40" s="483"/>
      <c r="D40" s="483"/>
      <c r="E40" s="332" t="s">
        <v>37</v>
      </c>
      <c r="F40" s="109"/>
    </row>
    <row r="41" spans="1:6" ht="15" customHeight="1" x14ac:dyDescent="0.2">
      <c r="A41" s="323" t="str">
        <f>+A120</f>
        <v>3.2. Estacão de transbordo com capacidade mínima de 0,500 Toneladas dia</v>
      </c>
      <c r="B41" s="195"/>
      <c r="C41" s="195"/>
      <c r="D41" s="43"/>
      <c r="E41" s="175">
        <f>C135</f>
        <v>1</v>
      </c>
      <c r="F41" s="109"/>
    </row>
    <row r="42" spans="1:6" ht="15" customHeight="1" x14ac:dyDescent="0.2">
      <c r="A42" s="324" t="s">
        <v>393</v>
      </c>
      <c r="B42" s="395"/>
      <c r="C42" s="395"/>
      <c r="D42" s="396"/>
      <c r="E42" s="397">
        <v>1</v>
      </c>
      <c r="F42" s="109"/>
    </row>
    <row r="43" spans="1:6" ht="15" customHeight="1" x14ac:dyDescent="0.2">
      <c r="A43" s="324"/>
      <c r="B43" s="395"/>
      <c r="C43" s="395"/>
      <c r="D43" s="396"/>
      <c r="E43" s="397"/>
      <c r="F43" s="109"/>
    </row>
    <row r="44" spans="1:6" ht="15" customHeight="1" x14ac:dyDescent="0.2">
      <c r="A44" s="482" t="s">
        <v>365</v>
      </c>
      <c r="B44" s="483"/>
      <c r="C44" s="483"/>
      <c r="D44" s="483"/>
      <c r="E44" s="332" t="s">
        <v>37</v>
      </c>
      <c r="F44" s="109"/>
    </row>
    <row r="45" spans="1:6" ht="15" customHeight="1" x14ac:dyDescent="0.2">
      <c r="A45" s="399" t="s">
        <v>367</v>
      </c>
      <c r="B45" s="398"/>
      <c r="C45" s="398"/>
      <c r="D45" s="398"/>
      <c r="E45" s="175">
        <v>2</v>
      </c>
      <c r="F45" s="109"/>
    </row>
    <row r="46" spans="1:6" ht="15" customHeight="1" x14ac:dyDescent="0.2">
      <c r="A46" s="399" t="s">
        <v>366</v>
      </c>
      <c r="B46" s="398"/>
      <c r="C46" s="398"/>
      <c r="D46" s="398"/>
      <c r="E46" s="175">
        <v>1</v>
      </c>
      <c r="F46" s="109"/>
    </row>
    <row r="47" spans="1:6" ht="15" customHeight="1" thickBot="1" x14ac:dyDescent="0.25">
      <c r="A47" s="403" t="s">
        <v>394</v>
      </c>
      <c r="B47" s="328"/>
      <c r="C47" s="328"/>
      <c r="D47" s="125"/>
      <c r="E47" s="404">
        <f>SUM(E45:E46)</f>
        <v>3</v>
      </c>
      <c r="F47" s="109"/>
    </row>
    <row r="48" spans="1:6" ht="16.5" thickBot="1" x14ac:dyDescent="0.25">
      <c r="A48" s="176"/>
      <c r="B48" s="176"/>
      <c r="C48" s="176"/>
      <c r="D48" s="178"/>
      <c r="E48" s="180"/>
      <c r="F48" s="109"/>
    </row>
    <row r="49" spans="1:10" s="118" customFormat="1" ht="15.75" customHeight="1" thickBot="1" x14ac:dyDescent="0.25">
      <c r="A49" s="181" t="s">
        <v>282</v>
      </c>
      <c r="B49" s="380">
        <v>9.0899999999999995E-2</v>
      </c>
      <c r="C49" s="412" t="s">
        <v>455</v>
      </c>
      <c r="D49" s="142"/>
      <c r="E49" s="182"/>
      <c r="G49" s="144"/>
    </row>
    <row r="50" spans="1:10" ht="15.75" customHeight="1" x14ac:dyDescent="0.2">
      <c r="A50" s="473"/>
      <c r="B50" s="473"/>
      <c r="C50" s="473"/>
      <c r="D50" s="473"/>
      <c r="E50" s="473"/>
      <c r="F50" s="473"/>
    </row>
    <row r="51" spans="1:10" ht="13.15" customHeight="1" x14ac:dyDescent="0.2">
      <c r="A51" s="481" t="s">
        <v>44</v>
      </c>
      <c r="B51" s="481"/>
      <c r="C51" s="481"/>
      <c r="D51" s="481"/>
      <c r="E51" s="481"/>
      <c r="F51" s="481"/>
    </row>
    <row r="52" spans="1:10" ht="11.25" customHeight="1" x14ac:dyDescent="0.2">
      <c r="A52" s="432"/>
      <c r="B52" s="432"/>
      <c r="C52" s="432"/>
      <c r="D52" s="432"/>
      <c r="E52" s="432"/>
      <c r="F52" s="432"/>
    </row>
    <row r="53" spans="1:10" s="145" customFormat="1" ht="15.75" customHeight="1" thickBot="1" x14ac:dyDescent="0.25">
      <c r="A53" s="471" t="s">
        <v>417</v>
      </c>
      <c r="B53" s="471"/>
      <c r="C53" s="471"/>
      <c r="D53" s="471"/>
      <c r="E53" s="471"/>
      <c r="F53" s="471"/>
      <c r="H53" s="109"/>
      <c r="I53" s="109"/>
      <c r="J53" s="109"/>
    </row>
    <row r="54" spans="1:10" s="145" customFormat="1" ht="15.75" customHeight="1" thickBot="1" x14ac:dyDescent="0.25">
      <c r="A54" s="183" t="s">
        <v>59</v>
      </c>
      <c r="B54" s="184" t="s">
        <v>60</v>
      </c>
      <c r="C54" s="184" t="s">
        <v>37</v>
      </c>
      <c r="D54" s="185" t="s">
        <v>216</v>
      </c>
      <c r="E54" s="185" t="s">
        <v>61</v>
      </c>
      <c r="F54" s="186" t="s">
        <v>285</v>
      </c>
      <c r="H54" s="109"/>
      <c r="I54" s="109"/>
      <c r="J54" s="109"/>
    </row>
    <row r="55" spans="1:10" s="145" customFormat="1" ht="15.75" customHeight="1" x14ac:dyDescent="0.2">
      <c r="A55" s="271" t="s">
        <v>200</v>
      </c>
      <c r="B55" s="187" t="s">
        <v>6</v>
      </c>
      <c r="C55" s="187">
        <v>1</v>
      </c>
      <c r="D55" s="188">
        <v>1463.98</v>
      </c>
      <c r="E55" s="189">
        <f>C55*D55</f>
        <v>1463.98</v>
      </c>
      <c r="F55" s="272"/>
      <c r="H55" s="109"/>
      <c r="I55" s="109"/>
      <c r="J55" s="109"/>
    </row>
    <row r="56" spans="1:10" s="145" customFormat="1" ht="15.75" customHeight="1" x14ac:dyDescent="0.2">
      <c r="A56" s="271" t="s">
        <v>201</v>
      </c>
      <c r="B56" s="187" t="s">
        <v>6</v>
      </c>
      <c r="C56" s="187">
        <v>1</v>
      </c>
      <c r="D56" s="188">
        <v>1212</v>
      </c>
      <c r="E56" s="189"/>
      <c r="F56" s="272"/>
      <c r="H56" s="109"/>
      <c r="I56" s="109"/>
      <c r="J56" s="109"/>
    </row>
    <row r="57" spans="1:10" s="145" customFormat="1" ht="15.75" customHeight="1" x14ac:dyDescent="0.2">
      <c r="A57" s="41" t="s">
        <v>199</v>
      </c>
      <c r="B57" s="42"/>
      <c r="C57" s="197">
        <v>2</v>
      </c>
      <c r="D57" s="191"/>
      <c r="E57" s="191"/>
      <c r="F57" s="272"/>
      <c r="H57" s="109"/>
      <c r="I57" s="109"/>
      <c r="J57" s="109"/>
    </row>
    <row r="58" spans="1:10" s="145" customFormat="1" ht="15.75" customHeight="1" x14ac:dyDescent="0.2">
      <c r="A58" s="41" t="s">
        <v>1</v>
      </c>
      <c r="B58" s="42" t="s">
        <v>2</v>
      </c>
      <c r="C58" s="40">
        <v>40</v>
      </c>
      <c r="D58" s="192">
        <f>IF(C57=2,SUM(E55:E56),IF(C57=1,(SUM(E55:E56))*D56/D55,0))</f>
        <v>1463.98</v>
      </c>
      <c r="E58" s="191">
        <f>C58*D58/100</f>
        <v>585.59199999999998</v>
      </c>
      <c r="F58" s="272"/>
      <c r="H58" s="109"/>
      <c r="I58" s="109"/>
      <c r="J58" s="109"/>
    </row>
    <row r="59" spans="1:10" s="145" customFormat="1" ht="15.75" customHeight="1" x14ac:dyDescent="0.2">
      <c r="A59" s="484" t="s">
        <v>287</v>
      </c>
      <c r="B59" s="485"/>
      <c r="C59" s="485"/>
      <c r="D59" s="486"/>
      <c r="E59" s="198">
        <f>SUM(E55:E58)</f>
        <v>2049.5720000000001</v>
      </c>
      <c r="F59" s="278"/>
      <c r="H59" s="109"/>
      <c r="I59" s="109"/>
      <c r="J59" s="109"/>
    </row>
    <row r="60" spans="1:10" s="145" customFormat="1" ht="15.75" customHeight="1" x14ac:dyDescent="0.2">
      <c r="A60" s="41" t="s">
        <v>3</v>
      </c>
      <c r="B60" s="42" t="s">
        <v>2</v>
      </c>
      <c r="C60" s="194">
        <f>'2.Encargos Sociais'!$C$34*100</f>
        <v>72.231660000000005</v>
      </c>
      <c r="D60" s="191">
        <f>E59</f>
        <v>2049.5720000000001</v>
      </c>
      <c r="E60" s="191">
        <f>D60*C60/100</f>
        <v>1480.4398784952002</v>
      </c>
      <c r="F60" s="272"/>
      <c r="H60" s="109"/>
      <c r="I60" s="109"/>
      <c r="J60" s="109"/>
    </row>
    <row r="61" spans="1:10" s="145" customFormat="1" ht="15.75" customHeight="1" x14ac:dyDescent="0.2">
      <c r="A61" s="484" t="s">
        <v>289</v>
      </c>
      <c r="B61" s="485"/>
      <c r="C61" s="485"/>
      <c r="D61" s="486"/>
      <c r="E61" s="198">
        <f>E59+E60</f>
        <v>3530.0118784952001</v>
      </c>
      <c r="F61" s="278"/>
      <c r="H61" s="109"/>
      <c r="I61" s="109"/>
      <c r="J61" s="109"/>
    </row>
    <row r="62" spans="1:10" s="145" customFormat="1" ht="15.75" customHeight="1" x14ac:dyDescent="0.2">
      <c r="A62" s="41" t="s">
        <v>4</v>
      </c>
      <c r="B62" s="42" t="s">
        <v>5</v>
      </c>
      <c r="C62" s="40">
        <v>2</v>
      </c>
      <c r="D62" s="191">
        <f>E61</f>
        <v>3530.0118784952001</v>
      </c>
      <c r="E62" s="191">
        <f>C62*D62</f>
        <v>7060.0237569904002</v>
      </c>
      <c r="F62" s="272"/>
      <c r="H62" s="109"/>
      <c r="I62" s="109"/>
      <c r="J62" s="109"/>
    </row>
    <row r="63" spans="1:10" s="145" customFormat="1" ht="15.75" customHeight="1" thickBot="1" x14ac:dyDescent="0.25">
      <c r="A63" s="501" t="str">
        <f>F54</f>
        <v>Total (R$)</v>
      </c>
      <c r="B63" s="502"/>
      <c r="C63" s="503"/>
      <c r="D63" s="329" t="s">
        <v>286</v>
      </c>
      <c r="E63" s="381">
        <f>$B$49</f>
        <v>9.0899999999999995E-2</v>
      </c>
      <c r="F63" s="230">
        <f>E62*E63</f>
        <v>641.75615951042732</v>
      </c>
      <c r="H63" s="109"/>
      <c r="I63" s="109"/>
      <c r="J63" s="109"/>
    </row>
    <row r="64" spans="1:10" s="145" customFormat="1" ht="11.25" customHeight="1" x14ac:dyDescent="0.2">
      <c r="A64" s="432"/>
      <c r="B64" s="432"/>
      <c r="C64" s="432"/>
      <c r="D64" s="432"/>
      <c r="E64" s="432"/>
      <c r="F64" s="432"/>
      <c r="H64" s="109"/>
      <c r="I64" s="109"/>
      <c r="J64" s="109"/>
    </row>
    <row r="65" spans="1:10" s="145" customFormat="1" ht="11.25" customHeight="1" x14ac:dyDescent="0.2">
      <c r="A65" s="400"/>
      <c r="B65" s="400"/>
      <c r="C65" s="400"/>
      <c r="D65" s="400"/>
      <c r="E65" s="400"/>
      <c r="F65" s="400"/>
      <c r="H65" s="109"/>
      <c r="I65" s="109"/>
      <c r="J65" s="109"/>
    </row>
    <row r="66" spans="1:10" s="145" customFormat="1" ht="16.5" thickBot="1" x14ac:dyDescent="0.25">
      <c r="A66" s="471" t="s">
        <v>418</v>
      </c>
      <c r="B66" s="471"/>
      <c r="C66" s="471"/>
      <c r="D66" s="471"/>
      <c r="E66" s="471"/>
      <c r="F66" s="471"/>
      <c r="H66" s="109"/>
      <c r="I66" s="109"/>
      <c r="J66" s="109"/>
    </row>
    <row r="67" spans="1:10" ht="13.15" customHeight="1" thickBot="1" x14ac:dyDescent="0.25">
      <c r="A67" s="183" t="s">
        <v>59</v>
      </c>
      <c r="B67" s="184" t="s">
        <v>60</v>
      </c>
      <c r="C67" s="184" t="s">
        <v>37</v>
      </c>
      <c r="D67" s="185" t="s">
        <v>216</v>
      </c>
      <c r="E67" s="185" t="s">
        <v>61</v>
      </c>
      <c r="F67" s="186" t="s">
        <v>285</v>
      </c>
    </row>
    <row r="68" spans="1:10" ht="15.75" customHeight="1" x14ac:dyDescent="0.2">
      <c r="A68" s="271" t="s">
        <v>200</v>
      </c>
      <c r="B68" s="187" t="s">
        <v>6</v>
      </c>
      <c r="C68" s="187">
        <v>1</v>
      </c>
      <c r="D68" s="188">
        <v>1930.19</v>
      </c>
      <c r="E68" s="189">
        <f>C68*D68</f>
        <v>1930.19</v>
      </c>
      <c r="F68" s="272"/>
    </row>
    <row r="69" spans="1:10" ht="15.75" customHeight="1" x14ac:dyDescent="0.2">
      <c r="A69" s="271" t="s">
        <v>201</v>
      </c>
      <c r="B69" s="187" t="s">
        <v>6</v>
      </c>
      <c r="C69" s="187">
        <v>1</v>
      </c>
      <c r="D69" s="188">
        <v>1212</v>
      </c>
      <c r="E69" s="189"/>
      <c r="F69" s="272"/>
    </row>
    <row r="70" spans="1:10" x14ac:dyDescent="0.2">
      <c r="A70" s="41" t="s">
        <v>199</v>
      </c>
      <c r="B70" s="42"/>
      <c r="C70" s="197">
        <v>1</v>
      </c>
      <c r="D70" s="191"/>
      <c r="E70" s="191"/>
      <c r="F70" s="272"/>
    </row>
    <row r="71" spans="1:10" x14ac:dyDescent="0.2">
      <c r="A71" s="41" t="s">
        <v>1</v>
      </c>
      <c r="B71" s="42" t="s">
        <v>2</v>
      </c>
      <c r="C71" s="40">
        <v>40</v>
      </c>
      <c r="D71" s="192">
        <f>IF(C70=2,SUM(E68:E69),IF(C70=1,(SUM(E68:E69))*D69/D68,0))</f>
        <v>1212</v>
      </c>
      <c r="E71" s="191">
        <f>C71*D71/100</f>
        <v>484.8</v>
      </c>
      <c r="F71" s="272"/>
    </row>
    <row r="72" spans="1:10" s="118" customFormat="1" x14ac:dyDescent="0.2">
      <c r="A72" s="484" t="s">
        <v>287</v>
      </c>
      <c r="B72" s="485"/>
      <c r="C72" s="485"/>
      <c r="D72" s="486"/>
      <c r="E72" s="198">
        <f>SUM(E68:E71)</f>
        <v>2414.9900000000002</v>
      </c>
      <c r="F72" s="278"/>
      <c r="G72" s="144"/>
    </row>
    <row r="73" spans="1:10" x14ac:dyDescent="0.2">
      <c r="A73" s="41" t="s">
        <v>3</v>
      </c>
      <c r="B73" s="42" t="s">
        <v>2</v>
      </c>
      <c r="C73" s="194">
        <f>'2.Encargos Sociais'!$C$34*100</f>
        <v>72.231660000000005</v>
      </c>
      <c r="D73" s="191">
        <f>E72</f>
        <v>2414.9900000000002</v>
      </c>
      <c r="E73" s="191">
        <f>D73*C73/100</f>
        <v>1744.3873658340003</v>
      </c>
      <c r="F73" s="272"/>
    </row>
    <row r="74" spans="1:10" s="118" customFormat="1" x14ac:dyDescent="0.2">
      <c r="A74" s="484" t="s">
        <v>289</v>
      </c>
      <c r="B74" s="485"/>
      <c r="C74" s="485"/>
      <c r="D74" s="486"/>
      <c r="E74" s="198">
        <f>E72+E73</f>
        <v>4159.3773658340006</v>
      </c>
      <c r="F74" s="278"/>
      <c r="G74" s="144"/>
    </row>
    <row r="75" spans="1:10" x14ac:dyDescent="0.2">
      <c r="A75" s="41" t="s">
        <v>4</v>
      </c>
      <c r="B75" s="42" t="s">
        <v>5</v>
      </c>
      <c r="C75" s="40">
        <v>1</v>
      </c>
      <c r="D75" s="191">
        <f>E74</f>
        <v>4159.3773658340006</v>
      </c>
      <c r="E75" s="191">
        <f>C75*D75</f>
        <v>4159.3773658340006</v>
      </c>
      <c r="F75" s="272"/>
    </row>
    <row r="76" spans="1:10" ht="16.5" thickBot="1" x14ac:dyDescent="0.25">
      <c r="A76" s="501" t="str">
        <f>F67</f>
        <v>Total (R$)</v>
      </c>
      <c r="B76" s="502"/>
      <c r="C76" s="503"/>
      <c r="D76" s="329" t="s">
        <v>286</v>
      </c>
      <c r="E76" s="381">
        <f>$B$49</f>
        <v>9.0899999999999995E-2</v>
      </c>
      <c r="F76" s="230">
        <f>E75*E76</f>
        <v>378.08740255431064</v>
      </c>
    </row>
    <row r="77" spans="1:10" ht="11.25" customHeight="1" x14ac:dyDescent="0.2">
      <c r="A77" s="432"/>
      <c r="B77" s="432"/>
      <c r="C77" s="432"/>
      <c r="D77" s="432"/>
      <c r="E77" s="432"/>
      <c r="F77" s="432"/>
    </row>
    <row r="78" spans="1:10" ht="11.25" customHeight="1" x14ac:dyDescent="0.2">
      <c r="A78" s="432"/>
      <c r="B78" s="432"/>
      <c r="C78" s="432"/>
      <c r="D78" s="432"/>
      <c r="E78" s="432"/>
      <c r="F78" s="432"/>
      <c r="G78" s="109"/>
    </row>
    <row r="79" spans="1:10" ht="16.5" thickBot="1" x14ac:dyDescent="0.25">
      <c r="A79" s="471" t="s">
        <v>361</v>
      </c>
      <c r="B79" s="471"/>
      <c r="C79" s="471"/>
      <c r="D79" s="471"/>
      <c r="E79" s="471"/>
      <c r="F79" s="471"/>
      <c r="G79" s="109"/>
    </row>
    <row r="80" spans="1:10" ht="16.5" thickBot="1" x14ac:dyDescent="0.25">
      <c r="A80" s="183" t="s">
        <v>59</v>
      </c>
      <c r="B80" s="184" t="s">
        <v>60</v>
      </c>
      <c r="C80" s="184" t="s">
        <v>37</v>
      </c>
      <c r="D80" s="185" t="s">
        <v>216</v>
      </c>
      <c r="E80" s="185" t="s">
        <v>61</v>
      </c>
      <c r="F80" s="186" t="s">
        <v>285</v>
      </c>
      <c r="G80" s="109"/>
    </row>
    <row r="81" spans="1:7" x14ac:dyDescent="0.2">
      <c r="A81" s="41" t="s">
        <v>84</v>
      </c>
      <c r="B81" s="42" t="s">
        <v>31</v>
      </c>
      <c r="C81" s="199">
        <v>1</v>
      </c>
      <c r="D81" s="282">
        <v>3.5</v>
      </c>
      <c r="E81" s="233"/>
      <c r="F81" s="279"/>
      <c r="G81" s="109"/>
    </row>
    <row r="82" spans="1:7" x14ac:dyDescent="0.2">
      <c r="A82" s="41" t="s">
        <v>85</v>
      </c>
      <c r="B82" s="42" t="s">
        <v>86</v>
      </c>
      <c r="C82" s="283">
        <v>16</v>
      </c>
      <c r="D82" s="191"/>
      <c r="E82" s="233"/>
      <c r="F82" s="280"/>
      <c r="G82" s="109"/>
    </row>
    <row r="83" spans="1:7" x14ac:dyDescent="0.2">
      <c r="A83" s="41" t="s">
        <v>419</v>
      </c>
      <c r="B83" s="42" t="s">
        <v>7</v>
      </c>
      <c r="C83" s="200">
        <f>$C$82*2*(C62)</f>
        <v>64</v>
      </c>
      <c r="D83" s="189">
        <f>IFERROR((($C$82*2*$D$81)-(E55*0.06))/($C$82*2),"-")</f>
        <v>0.75503750000000025</v>
      </c>
      <c r="E83" s="233">
        <f>IFERROR(C83*D83,"-")</f>
        <v>48.322400000000016</v>
      </c>
      <c r="F83" s="280"/>
      <c r="G83" s="109"/>
    </row>
    <row r="84" spans="1:7" x14ac:dyDescent="0.2">
      <c r="A84" s="271" t="s">
        <v>420</v>
      </c>
      <c r="B84" s="187" t="s">
        <v>7</v>
      </c>
      <c r="C84" s="200">
        <f>$C$82*2*(C62)</f>
        <v>64</v>
      </c>
      <c r="D84" s="189">
        <f>IFERROR((($C$82*2*$D$81)-(E68*0.06))/($C$82*2),"-")</f>
        <v>-0.11910624999999975</v>
      </c>
      <c r="E84" s="234">
        <f>IFERROR(C84*D84,"-")</f>
        <v>-7.6227999999999838</v>
      </c>
      <c r="F84" s="280"/>
      <c r="G84" s="109"/>
    </row>
    <row r="85" spans="1:7" ht="16.5" thickBot="1" x14ac:dyDescent="0.25">
      <c r="A85" s="468" t="s">
        <v>285</v>
      </c>
      <c r="B85" s="489"/>
      <c r="C85" s="489"/>
      <c r="D85" s="489"/>
      <c r="E85" s="490"/>
      <c r="F85" s="284">
        <f>SUM(E83:E84)</f>
        <v>40.699600000000032</v>
      </c>
      <c r="G85" s="109"/>
    </row>
    <row r="86" spans="1:7" ht="11.25" customHeight="1" x14ac:dyDescent="0.2">
      <c r="A86" s="432"/>
      <c r="B86" s="432"/>
      <c r="C86" s="432"/>
      <c r="D86" s="432"/>
      <c r="E86" s="432"/>
      <c r="F86" s="432"/>
      <c r="G86" s="109"/>
    </row>
    <row r="87" spans="1:7" ht="16.5" thickBot="1" x14ac:dyDescent="0.25">
      <c r="A87" s="471" t="s">
        <v>362</v>
      </c>
      <c r="B87" s="471"/>
      <c r="C87" s="471"/>
      <c r="D87" s="471"/>
      <c r="E87" s="471"/>
      <c r="F87" s="471"/>
      <c r="G87" s="109"/>
    </row>
    <row r="88" spans="1:7" ht="16.5" thickBot="1" x14ac:dyDescent="0.25">
      <c r="A88" s="183" t="s">
        <v>59</v>
      </c>
      <c r="B88" s="184" t="s">
        <v>60</v>
      </c>
      <c r="C88" s="184" t="s">
        <v>37</v>
      </c>
      <c r="D88" s="185" t="s">
        <v>216</v>
      </c>
      <c r="E88" s="185" t="s">
        <v>61</v>
      </c>
      <c r="F88" s="186" t="s">
        <v>285</v>
      </c>
      <c r="G88" s="109"/>
    </row>
    <row r="89" spans="1:7" x14ac:dyDescent="0.2">
      <c r="A89" s="41" t="str">
        <f>+A83</f>
        <v>Reciclador</v>
      </c>
      <c r="B89" s="42" t="s">
        <v>8</v>
      </c>
      <c r="C89" s="201">
        <f>C82*(E41)</f>
        <v>16</v>
      </c>
      <c r="D89" s="202">
        <v>20.18</v>
      </c>
      <c r="E89" s="235">
        <f>C89*D89</f>
        <v>322.88</v>
      </c>
      <c r="F89" s="285"/>
      <c r="G89" s="109"/>
    </row>
    <row r="90" spans="1:7" x14ac:dyDescent="0.2">
      <c r="A90" s="41" t="str">
        <f>+A84</f>
        <v>Operador</v>
      </c>
      <c r="B90" s="42" t="s">
        <v>8</v>
      </c>
      <c r="C90" s="201">
        <f>C82*(E42)</f>
        <v>16</v>
      </c>
      <c r="D90" s="202">
        <v>12.81</v>
      </c>
      <c r="E90" s="235">
        <f>C90*D90</f>
        <v>204.96</v>
      </c>
      <c r="F90" s="281"/>
      <c r="G90" s="109"/>
    </row>
    <row r="91" spans="1:7" ht="16.5" thickBot="1" x14ac:dyDescent="0.25">
      <c r="A91" s="468" t="s">
        <v>285</v>
      </c>
      <c r="B91" s="489"/>
      <c r="C91" s="489"/>
      <c r="D91" s="489"/>
      <c r="E91" s="490"/>
      <c r="F91" s="284">
        <f>SUM(E89:E90)</f>
        <v>527.84</v>
      </c>
      <c r="G91" s="109"/>
    </row>
    <row r="92" spans="1:7" x14ac:dyDescent="0.2">
      <c r="A92" s="432"/>
      <c r="B92" s="432"/>
      <c r="C92" s="432"/>
      <c r="D92" s="432"/>
      <c r="E92" s="432"/>
      <c r="F92" s="432"/>
      <c r="G92" s="109"/>
    </row>
    <row r="93" spans="1:7" ht="16.5" thickBot="1" x14ac:dyDescent="0.25">
      <c r="A93" s="471" t="s">
        <v>363</v>
      </c>
      <c r="B93" s="471"/>
      <c r="C93" s="471"/>
      <c r="D93" s="471"/>
      <c r="E93" s="471"/>
      <c r="F93" s="471"/>
      <c r="G93" s="109"/>
    </row>
    <row r="94" spans="1:7" ht="16.5" thickBot="1" x14ac:dyDescent="0.25">
      <c r="A94" s="183" t="s">
        <v>59</v>
      </c>
      <c r="B94" s="184" t="s">
        <v>60</v>
      </c>
      <c r="C94" s="184" t="s">
        <v>37</v>
      </c>
      <c r="D94" s="185" t="s">
        <v>216</v>
      </c>
      <c r="E94" s="185" t="s">
        <v>61</v>
      </c>
      <c r="F94" s="186" t="s">
        <v>285</v>
      </c>
      <c r="G94" s="109"/>
    </row>
    <row r="95" spans="1:7" x14ac:dyDescent="0.2">
      <c r="A95" s="41" t="str">
        <f>+A89</f>
        <v>Reciclador</v>
      </c>
      <c r="B95" s="42" t="s">
        <v>8</v>
      </c>
      <c r="C95" s="201">
        <f>E41</f>
        <v>1</v>
      </c>
      <c r="D95" s="202">
        <v>0</v>
      </c>
      <c r="E95" s="235">
        <f>C95*D95</f>
        <v>0</v>
      </c>
      <c r="F95" s="285"/>
      <c r="G95" s="109"/>
    </row>
    <row r="96" spans="1:7" x14ac:dyDescent="0.2">
      <c r="A96" s="41" t="str">
        <f>+A90</f>
        <v>Operador</v>
      </c>
      <c r="B96" s="42" t="s">
        <v>8</v>
      </c>
      <c r="C96" s="201">
        <f>E42</f>
        <v>1</v>
      </c>
      <c r="D96" s="202">
        <v>97.24</v>
      </c>
      <c r="E96" s="235">
        <f>C96*D96</f>
        <v>97.24</v>
      </c>
      <c r="F96" s="281"/>
      <c r="G96" s="109"/>
    </row>
    <row r="97" spans="1:7" ht="16.5" thickBot="1" x14ac:dyDescent="0.25">
      <c r="A97" s="495" t="s">
        <v>285</v>
      </c>
      <c r="B97" s="469"/>
      <c r="C97" s="470"/>
      <c r="D97" s="277" t="s">
        <v>286</v>
      </c>
      <c r="E97" s="383">
        <f>$B$42</f>
        <v>0</v>
      </c>
      <c r="F97" s="284">
        <f>SUM(E95:E96)*E97</f>
        <v>0</v>
      </c>
      <c r="G97" s="109"/>
    </row>
    <row r="98" spans="1:7" ht="16.5" thickBot="1" x14ac:dyDescent="0.25">
      <c r="G98" s="109"/>
    </row>
    <row r="99" spans="1:7" ht="16.5" thickBot="1" x14ac:dyDescent="0.25">
      <c r="A99" s="236" t="s">
        <v>290</v>
      </c>
      <c r="B99" s="237"/>
      <c r="C99" s="237"/>
      <c r="D99" s="172"/>
      <c r="E99" s="172"/>
      <c r="F99" s="238">
        <f>F63+F97+F91+F85+F76</f>
        <v>1588.3831620647379</v>
      </c>
      <c r="G99" s="109"/>
    </row>
    <row r="100" spans="1:7" x14ac:dyDescent="0.2">
      <c r="A100" s="494"/>
      <c r="B100" s="494"/>
      <c r="C100" s="494"/>
      <c r="D100" s="494"/>
      <c r="E100" s="494"/>
      <c r="F100" s="494"/>
    </row>
    <row r="101" spans="1:7" x14ac:dyDescent="0.2">
      <c r="A101" s="481" t="s">
        <v>42</v>
      </c>
      <c r="B101" s="481"/>
      <c r="C101" s="481"/>
      <c r="D101" s="481"/>
      <c r="E101" s="481"/>
      <c r="F101" s="481"/>
      <c r="G101" s="109"/>
    </row>
    <row r="102" spans="1:7" ht="11.25" customHeight="1" x14ac:dyDescent="0.2">
      <c r="A102" s="432"/>
      <c r="B102" s="432"/>
      <c r="C102" s="432"/>
      <c r="D102" s="432"/>
      <c r="E102" s="432"/>
      <c r="F102" s="432"/>
      <c r="G102" s="109"/>
    </row>
    <row r="103" spans="1:7" ht="13.9" customHeight="1" x14ac:dyDescent="0.2">
      <c r="A103" s="491" t="s">
        <v>421</v>
      </c>
      <c r="B103" s="491"/>
      <c r="C103" s="491"/>
      <c r="D103" s="491"/>
      <c r="E103" s="491"/>
      <c r="F103" s="491"/>
    </row>
    <row r="104" spans="1:7" ht="11.25" customHeight="1" thickBot="1" x14ac:dyDescent="0.25">
      <c r="A104" s="433"/>
      <c r="B104" s="433"/>
      <c r="C104" s="433"/>
      <c r="D104" s="433"/>
      <c r="E104" s="433"/>
      <c r="F104" s="433"/>
    </row>
    <row r="105" spans="1:7" ht="32.25" thickBot="1" x14ac:dyDescent="0.25">
      <c r="A105" s="183" t="s">
        <v>59</v>
      </c>
      <c r="B105" s="184" t="s">
        <v>60</v>
      </c>
      <c r="C105" s="204" t="s">
        <v>227</v>
      </c>
      <c r="D105" s="185" t="s">
        <v>216</v>
      </c>
      <c r="E105" s="185" t="s">
        <v>61</v>
      </c>
      <c r="F105" s="186" t="s">
        <v>285</v>
      </c>
    </row>
    <row r="106" spans="1:7" x14ac:dyDescent="0.2">
      <c r="A106" s="271" t="s">
        <v>62</v>
      </c>
      <c r="B106" s="187" t="s">
        <v>8</v>
      </c>
      <c r="C106" s="205">
        <v>12</v>
      </c>
      <c r="D106" s="189">
        <f>'1.1.Coleta Resíduos Orgânicos'!D124</f>
        <v>210</v>
      </c>
      <c r="E106" s="189">
        <f>IFERROR(D106/C106,0)</f>
        <v>17.5</v>
      </c>
      <c r="F106" s="279"/>
    </row>
    <row r="107" spans="1:7" x14ac:dyDescent="0.2">
      <c r="A107" s="41" t="s">
        <v>27</v>
      </c>
      <c r="B107" s="42" t="s">
        <v>8</v>
      </c>
      <c r="C107" s="205">
        <v>3</v>
      </c>
      <c r="D107" s="189">
        <f>'1.1.Coleta Resíduos Orgânicos'!D125</f>
        <v>48</v>
      </c>
      <c r="E107" s="189">
        <f t="shared" ref="E107:E111" si="1">IFERROR(D107/C107,0)</f>
        <v>16</v>
      </c>
      <c r="F107" s="280"/>
    </row>
    <row r="108" spans="1:7" x14ac:dyDescent="0.2">
      <c r="A108" s="41" t="s">
        <v>28</v>
      </c>
      <c r="B108" s="42" t="s">
        <v>8</v>
      </c>
      <c r="C108" s="205">
        <v>3</v>
      </c>
      <c r="D108" s="189">
        <f>'1.1.Coleta Resíduos Orgânicos'!D126</f>
        <v>32.5</v>
      </c>
      <c r="E108" s="189">
        <f t="shared" si="1"/>
        <v>10.833333333333334</v>
      </c>
      <c r="F108" s="280"/>
    </row>
    <row r="109" spans="1:7" x14ac:dyDescent="0.2">
      <c r="A109" s="41" t="s">
        <v>64</v>
      </c>
      <c r="B109" s="42" t="s">
        <v>45</v>
      </c>
      <c r="C109" s="205">
        <v>3</v>
      </c>
      <c r="D109" s="189">
        <v>49</v>
      </c>
      <c r="E109" s="189">
        <f t="shared" si="1"/>
        <v>16.333333333333332</v>
      </c>
      <c r="F109" s="280"/>
    </row>
    <row r="110" spans="1:7" x14ac:dyDescent="0.2">
      <c r="A110" s="41" t="s">
        <v>63</v>
      </c>
      <c r="B110" s="42" t="s">
        <v>8</v>
      </c>
      <c r="C110" s="205">
        <v>6</v>
      </c>
      <c r="D110" s="189">
        <f>'1.1.Coleta Resíduos Orgânicos'!D128</f>
        <v>32.5</v>
      </c>
      <c r="E110" s="189">
        <f t="shared" si="1"/>
        <v>5.416666666666667</v>
      </c>
      <c r="F110" s="280"/>
      <c r="G110" s="109"/>
    </row>
    <row r="111" spans="1:7" x14ac:dyDescent="0.2">
      <c r="A111" s="41" t="s">
        <v>58</v>
      </c>
      <c r="B111" s="42" t="s">
        <v>46</v>
      </c>
      <c r="C111" s="205">
        <v>2</v>
      </c>
      <c r="D111" s="189">
        <v>14.186</v>
      </c>
      <c r="E111" s="189">
        <f t="shared" si="1"/>
        <v>7.093</v>
      </c>
      <c r="F111" s="280"/>
      <c r="G111" s="109"/>
    </row>
    <row r="112" spans="1:7" x14ac:dyDescent="0.2">
      <c r="A112" s="41" t="s">
        <v>185</v>
      </c>
      <c r="B112" s="42" t="s">
        <v>113</v>
      </c>
      <c r="C112" s="207">
        <v>1</v>
      </c>
      <c r="D112" s="188">
        <v>60</v>
      </c>
      <c r="E112" s="191">
        <f t="shared" ref="E112:E113" si="2">C112*D112</f>
        <v>60</v>
      </c>
      <c r="F112" s="280"/>
      <c r="G112" s="109"/>
    </row>
    <row r="113" spans="1:10" x14ac:dyDescent="0.2">
      <c r="A113" s="41" t="s">
        <v>4</v>
      </c>
      <c r="B113" s="42" t="s">
        <v>5</v>
      </c>
      <c r="C113" s="208">
        <f>E36+E37</f>
        <v>3</v>
      </c>
      <c r="D113" s="191">
        <f>+SUM(E106:E112)</f>
        <v>133.17633333333333</v>
      </c>
      <c r="E113" s="191">
        <f t="shared" si="2"/>
        <v>399.529</v>
      </c>
      <c r="F113" s="280"/>
      <c r="G113" s="109"/>
    </row>
    <row r="114" spans="1:10" ht="16.5" thickBot="1" x14ac:dyDescent="0.25">
      <c r="A114" s="460" t="str">
        <f>F105</f>
        <v>Total (R$)</v>
      </c>
      <c r="B114" s="463"/>
      <c r="C114" s="497"/>
      <c r="D114" s="277" t="s">
        <v>286</v>
      </c>
      <c r="E114" s="382">
        <f>$B$49</f>
        <v>9.0899999999999995E-2</v>
      </c>
      <c r="F114" s="230">
        <f>E113*E114</f>
        <v>36.317186100000001</v>
      </c>
      <c r="G114" s="109"/>
    </row>
    <row r="115" spans="1:10" ht="11.25" customHeight="1" thickBot="1" x14ac:dyDescent="0.25">
      <c r="G115" s="109"/>
    </row>
    <row r="116" spans="1:10" ht="16.5" thickBot="1" x14ac:dyDescent="0.25">
      <c r="A116" s="236" t="s">
        <v>186</v>
      </c>
      <c r="B116" s="291"/>
      <c r="C116" s="291"/>
      <c r="D116" s="292"/>
      <c r="E116" s="292"/>
      <c r="F116" s="196">
        <f>F114</f>
        <v>36.317186100000001</v>
      </c>
      <c r="G116" s="109"/>
    </row>
    <row r="117" spans="1:10" ht="11.25" customHeight="1" x14ac:dyDescent="0.2">
      <c r="G117" s="109"/>
    </row>
    <row r="118" spans="1:10" x14ac:dyDescent="0.2">
      <c r="A118" s="118" t="s">
        <v>51</v>
      </c>
      <c r="G118" s="109"/>
    </row>
    <row r="119" spans="1:10" ht="11.25" customHeight="1" x14ac:dyDescent="0.2">
      <c r="B119" s="209"/>
      <c r="G119" s="109"/>
    </row>
    <row r="120" spans="1:10" x14ac:dyDescent="0.2">
      <c r="A120" s="231" t="s">
        <v>461</v>
      </c>
      <c r="C120" s="519" t="s">
        <v>460</v>
      </c>
      <c r="D120" s="519"/>
      <c r="E120" s="519"/>
      <c r="G120" s="109"/>
    </row>
    <row r="121" spans="1:10" ht="11.25" customHeight="1" x14ac:dyDescent="0.2">
      <c r="G121" s="109"/>
    </row>
    <row r="122" spans="1:10" ht="16.5" thickBot="1" x14ac:dyDescent="0.25">
      <c r="A122" s="240" t="s">
        <v>315</v>
      </c>
      <c r="G122" s="109"/>
    </row>
    <row r="123" spans="1:10" ht="16.5" thickBot="1" x14ac:dyDescent="0.25">
      <c r="A123" s="183" t="s">
        <v>59</v>
      </c>
      <c r="B123" s="184" t="s">
        <v>60</v>
      </c>
      <c r="C123" s="184" t="s">
        <v>37</v>
      </c>
      <c r="D123" s="185" t="s">
        <v>216</v>
      </c>
      <c r="E123" s="185" t="s">
        <v>61</v>
      </c>
      <c r="F123" s="186" t="s">
        <v>285</v>
      </c>
      <c r="G123" s="109"/>
    </row>
    <row r="124" spans="1:10" x14ac:dyDescent="0.2">
      <c r="A124" s="271" t="s">
        <v>295</v>
      </c>
      <c r="B124" s="187" t="s">
        <v>8</v>
      </c>
      <c r="C124" s="48">
        <v>2</v>
      </c>
      <c r="D124" s="188">
        <v>18300</v>
      </c>
      <c r="E124" s="234">
        <f>C124*D124</f>
        <v>36600</v>
      </c>
      <c r="F124" s="279"/>
      <c r="G124" s="109"/>
    </row>
    <row r="125" spans="1:10" x14ac:dyDescent="0.2">
      <c r="A125" s="41" t="s">
        <v>296</v>
      </c>
      <c r="B125" s="42" t="s">
        <v>93</v>
      </c>
      <c r="C125" s="40">
        <v>10</v>
      </c>
      <c r="D125" s="192"/>
      <c r="E125" s="233"/>
      <c r="F125" s="280"/>
      <c r="G125" s="109"/>
    </row>
    <row r="126" spans="1:10" x14ac:dyDescent="0.2">
      <c r="A126" s="41" t="s">
        <v>297</v>
      </c>
      <c r="B126" s="42" t="s">
        <v>93</v>
      </c>
      <c r="C126" s="40">
        <v>0</v>
      </c>
      <c r="D126" s="191"/>
      <c r="E126" s="233"/>
      <c r="F126" s="293"/>
      <c r="I126" s="210"/>
      <c r="J126" s="210"/>
    </row>
    <row r="127" spans="1:10" x14ac:dyDescent="0.2">
      <c r="A127" s="41" t="s">
        <v>298</v>
      </c>
      <c r="B127" s="42" t="s">
        <v>2</v>
      </c>
      <c r="C127" s="194">
        <f>IFERROR(VLOOKUP(C125,'5. Depreciação'!A3:B17,2,FALSE),0)</f>
        <v>65.180000000000007</v>
      </c>
      <c r="D127" s="191">
        <f>E124</f>
        <v>36600</v>
      </c>
      <c r="E127" s="233">
        <f>C127*D127/100</f>
        <v>23855.880000000005</v>
      </c>
      <c r="F127" s="280"/>
    </row>
    <row r="128" spans="1:10" ht="16.5" thickBot="1" x14ac:dyDescent="0.25">
      <c r="A128" s="294" t="s">
        <v>299</v>
      </c>
      <c r="B128" s="211" t="s">
        <v>6</v>
      </c>
      <c r="C128" s="211">
        <f>C125*12</f>
        <v>120</v>
      </c>
      <c r="D128" s="212">
        <f>IF(C126&lt;=C125,E127,0)</f>
        <v>23855.880000000005</v>
      </c>
      <c r="E128" s="241">
        <f>IFERROR(D128/C128,0)</f>
        <v>198.79900000000004</v>
      </c>
      <c r="F128" s="280"/>
    </row>
    <row r="129" spans="1:10" ht="16.5" thickTop="1" x14ac:dyDescent="0.2">
      <c r="A129" s="271" t="s">
        <v>300</v>
      </c>
      <c r="B129" s="187" t="s">
        <v>8</v>
      </c>
      <c r="C129" s="187">
        <v>1</v>
      </c>
      <c r="D129" s="188">
        <v>145400</v>
      </c>
      <c r="E129" s="234">
        <f>C129*D129</f>
        <v>145400</v>
      </c>
      <c r="F129" s="280"/>
      <c r="G129" s="109"/>
    </row>
    <row r="130" spans="1:10" x14ac:dyDescent="0.2">
      <c r="A130" s="41" t="s">
        <v>301</v>
      </c>
      <c r="B130" s="42" t="s">
        <v>93</v>
      </c>
      <c r="C130" s="40">
        <v>10</v>
      </c>
      <c r="D130" s="191"/>
      <c r="E130" s="233"/>
      <c r="F130" s="280"/>
    </row>
    <row r="131" spans="1:10" x14ac:dyDescent="0.2">
      <c r="A131" s="41" t="s">
        <v>302</v>
      </c>
      <c r="B131" s="42" t="s">
        <v>93</v>
      </c>
      <c r="C131" s="40">
        <v>0</v>
      </c>
      <c r="D131" s="191"/>
      <c r="E131" s="233"/>
      <c r="F131" s="293"/>
      <c r="I131" s="210"/>
      <c r="J131" s="210"/>
    </row>
    <row r="132" spans="1:10" x14ac:dyDescent="0.2">
      <c r="A132" s="41" t="s">
        <v>303</v>
      </c>
      <c r="B132" s="42" t="s">
        <v>2</v>
      </c>
      <c r="C132" s="213">
        <f>IFERROR(VLOOKUP(C130,'5. Depreciação'!A3:B17,2,FALSE),0)</f>
        <v>65.180000000000007</v>
      </c>
      <c r="D132" s="191">
        <f>E129</f>
        <v>145400</v>
      </c>
      <c r="E132" s="233">
        <f>C132*D132/100</f>
        <v>94771.720000000016</v>
      </c>
      <c r="F132" s="280"/>
    </row>
    <row r="133" spans="1:10" x14ac:dyDescent="0.2">
      <c r="A133" s="295" t="s">
        <v>304</v>
      </c>
      <c r="B133" s="134" t="s">
        <v>6</v>
      </c>
      <c r="C133" s="134">
        <f>C130*12</f>
        <v>120</v>
      </c>
      <c r="D133" s="198">
        <f>IF(C131&lt;=C130,E132,0)</f>
        <v>94771.720000000016</v>
      </c>
      <c r="E133" s="242">
        <f>IFERROR(D133/C133,0)</f>
        <v>789.76433333333341</v>
      </c>
      <c r="F133" s="280"/>
    </row>
    <row r="134" spans="1:10" x14ac:dyDescent="0.2">
      <c r="A134" s="296" t="s">
        <v>305</v>
      </c>
      <c r="B134" s="297"/>
      <c r="C134" s="297"/>
      <c r="D134" s="298"/>
      <c r="E134" s="243">
        <f>E128+E133</f>
        <v>988.5633333333335</v>
      </c>
      <c r="F134" s="280"/>
    </row>
    <row r="135" spans="1:10" x14ac:dyDescent="0.2">
      <c r="A135" s="295" t="s">
        <v>311</v>
      </c>
      <c r="B135" s="134" t="s">
        <v>8</v>
      </c>
      <c r="C135" s="40">
        <v>1</v>
      </c>
      <c r="D135" s="198">
        <f>E134</f>
        <v>988.5633333333335</v>
      </c>
      <c r="E135" s="243">
        <f>C135*D135</f>
        <v>988.5633333333335</v>
      </c>
      <c r="F135" s="280"/>
    </row>
    <row r="136" spans="1:10" ht="16.5" thickBot="1" x14ac:dyDescent="0.25">
      <c r="A136" s="498" t="str">
        <f>F123</f>
        <v>Total (R$)</v>
      </c>
      <c r="B136" s="514"/>
      <c r="C136" s="515"/>
      <c r="D136" s="277" t="s">
        <v>286</v>
      </c>
      <c r="E136" s="383">
        <f>$B$49</f>
        <v>9.0899999999999995E-2</v>
      </c>
      <c r="F136" s="230">
        <f>(E135*E136)*1.08</f>
        <v>97.049239560000018</v>
      </c>
    </row>
    <row r="137" spans="1:10" ht="11.25" customHeight="1" x14ac:dyDescent="0.2"/>
    <row r="138" spans="1:10" ht="16.5" thickBot="1" x14ac:dyDescent="0.25">
      <c r="A138" s="240" t="s">
        <v>316</v>
      </c>
    </row>
    <row r="139" spans="1:10" ht="16.5" thickBot="1" x14ac:dyDescent="0.25">
      <c r="A139" s="183" t="s">
        <v>59</v>
      </c>
      <c r="B139" s="184" t="s">
        <v>60</v>
      </c>
      <c r="C139" s="184" t="s">
        <v>37</v>
      </c>
      <c r="D139" s="185" t="s">
        <v>216</v>
      </c>
      <c r="E139" s="185" t="s">
        <v>61</v>
      </c>
      <c r="F139" s="186" t="s">
        <v>285</v>
      </c>
      <c r="I139" s="210"/>
      <c r="J139" s="210"/>
    </row>
    <row r="140" spans="1:10" x14ac:dyDescent="0.2">
      <c r="A140" s="271" t="s">
        <v>422</v>
      </c>
      <c r="B140" s="187" t="s">
        <v>8</v>
      </c>
      <c r="C140" s="48">
        <v>2</v>
      </c>
      <c r="D140" s="189">
        <f>D124</f>
        <v>18300</v>
      </c>
      <c r="E140" s="234">
        <f>C140*D140</f>
        <v>36600</v>
      </c>
      <c r="F140" s="299"/>
      <c r="I140" s="210"/>
      <c r="J140" s="210"/>
    </row>
    <row r="141" spans="1:10" x14ac:dyDescent="0.2">
      <c r="A141" s="41" t="s">
        <v>197</v>
      </c>
      <c r="B141" s="42" t="s">
        <v>2</v>
      </c>
      <c r="C141" s="40">
        <v>10.75</v>
      </c>
      <c r="D141" s="191"/>
      <c r="E141" s="233"/>
      <c r="F141" s="293"/>
      <c r="I141" s="210"/>
      <c r="J141" s="210"/>
    </row>
    <row r="142" spans="1:10" x14ac:dyDescent="0.2">
      <c r="A142" s="41" t="s">
        <v>306</v>
      </c>
      <c r="B142" s="42" t="s">
        <v>31</v>
      </c>
      <c r="C142" s="401">
        <f>IFERROR(IF(C126&lt;=C125,E124-(C127/(100*C125)*C126)*E124,E124-E127),0)</f>
        <v>36600</v>
      </c>
      <c r="D142" s="191"/>
      <c r="E142" s="233"/>
      <c r="F142" s="293"/>
      <c r="I142" s="210"/>
      <c r="J142" s="210"/>
    </row>
    <row r="143" spans="1:10" x14ac:dyDescent="0.2">
      <c r="A143" s="41" t="s">
        <v>423</v>
      </c>
      <c r="B143" s="42" t="s">
        <v>31</v>
      </c>
      <c r="C143" s="192">
        <f>IFERROR(IF(C126&gt;=C125,C142,((((C142)-(E124-E127))*(((C125-C126)+1)/(2*(C125-C126))))+(E124-E127))),0)</f>
        <v>25864.853999999999</v>
      </c>
      <c r="D143" s="191"/>
      <c r="E143" s="233"/>
      <c r="F143" s="293"/>
      <c r="I143" s="210"/>
      <c r="J143" s="210"/>
    </row>
    <row r="144" spans="1:10" ht="16.5" thickBot="1" x14ac:dyDescent="0.25">
      <c r="A144" s="294" t="s">
        <v>424</v>
      </c>
      <c r="B144" s="211" t="s">
        <v>31</v>
      </c>
      <c r="C144" s="211"/>
      <c r="D144" s="215">
        <f>C141*C143/12/100</f>
        <v>231.70598375</v>
      </c>
      <c r="E144" s="241">
        <f>D144</f>
        <v>231.70598375</v>
      </c>
      <c r="F144" s="293"/>
      <c r="I144" s="210"/>
      <c r="J144" s="210"/>
    </row>
    <row r="145" spans="1:10" ht="16.5" thickTop="1" x14ac:dyDescent="0.2">
      <c r="A145" s="271" t="s">
        <v>307</v>
      </c>
      <c r="B145" s="187" t="s">
        <v>8</v>
      </c>
      <c r="C145" s="187">
        <f>C129</f>
        <v>1</v>
      </c>
      <c r="D145" s="189">
        <v>159800</v>
      </c>
      <c r="E145" s="234">
        <f>C145*D145</f>
        <v>159800</v>
      </c>
      <c r="F145" s="293"/>
      <c r="I145" s="210"/>
      <c r="J145" s="210"/>
    </row>
    <row r="146" spans="1:10" x14ac:dyDescent="0.2">
      <c r="A146" s="41" t="s">
        <v>197</v>
      </c>
      <c r="B146" s="42" t="s">
        <v>2</v>
      </c>
      <c r="C146" s="40">
        <v>10.75</v>
      </c>
      <c r="D146" s="191"/>
      <c r="E146" s="233"/>
      <c r="F146" s="293"/>
      <c r="I146" s="210"/>
      <c r="J146" s="210"/>
    </row>
    <row r="147" spans="1:10" x14ac:dyDescent="0.2">
      <c r="A147" s="41" t="s">
        <v>308</v>
      </c>
      <c r="B147" s="42" t="s">
        <v>31</v>
      </c>
      <c r="C147" s="214">
        <f>IFERROR(IF(C131&lt;=C130,E129-(C132/(100*C130)*C131)*E129,E129-E132),0)</f>
        <v>145400</v>
      </c>
      <c r="D147" s="191"/>
      <c r="E147" s="233"/>
      <c r="F147" s="293"/>
      <c r="I147" s="210"/>
      <c r="J147" s="210"/>
    </row>
    <row r="148" spans="1:10" x14ac:dyDescent="0.2">
      <c r="A148" s="41" t="s">
        <v>309</v>
      </c>
      <c r="B148" s="42" t="s">
        <v>31</v>
      </c>
      <c r="C148" s="192">
        <f>IFERROR(IF(C131&gt;=C130,C147,((((C147)-(E129-E132))*(((C130-C131)+1)/(2*(C130-C131))))+(E129-E132))),0)</f>
        <v>102752.726</v>
      </c>
      <c r="D148" s="191"/>
      <c r="E148" s="233"/>
      <c r="F148" s="293"/>
      <c r="I148" s="210"/>
      <c r="J148" s="210"/>
    </row>
    <row r="149" spans="1:10" x14ac:dyDescent="0.2">
      <c r="A149" s="295" t="s">
        <v>310</v>
      </c>
      <c r="B149" s="134" t="s">
        <v>31</v>
      </c>
      <c r="C149" s="134"/>
      <c r="D149" s="216">
        <f>C146*C148/12/100</f>
        <v>920.49317041666654</v>
      </c>
      <c r="E149" s="242">
        <f>D149</f>
        <v>920.49317041666654</v>
      </c>
      <c r="F149" s="293"/>
      <c r="I149" s="210"/>
      <c r="J149" s="210"/>
    </row>
    <row r="150" spans="1:10" x14ac:dyDescent="0.2">
      <c r="A150" s="296" t="s">
        <v>305</v>
      </c>
      <c r="B150" s="297"/>
      <c r="C150" s="297"/>
      <c r="D150" s="298"/>
      <c r="E150" s="243">
        <f>E144+E149</f>
        <v>1152.1991541666666</v>
      </c>
      <c r="F150" s="293"/>
      <c r="I150" s="210"/>
      <c r="J150" s="210"/>
    </row>
    <row r="151" spans="1:10" x14ac:dyDescent="0.2">
      <c r="A151" s="295" t="str">
        <f>A135</f>
        <v>Total da estação de transbordo</v>
      </c>
      <c r="B151" s="134" t="s">
        <v>8</v>
      </c>
      <c r="C151" s="338">
        <f>C135</f>
        <v>1</v>
      </c>
      <c r="D151" s="198">
        <f>E150</f>
        <v>1152.1991541666666</v>
      </c>
      <c r="E151" s="243">
        <f>C151*D151</f>
        <v>1152.1991541666666</v>
      </c>
      <c r="F151" s="293"/>
      <c r="I151" s="210"/>
      <c r="J151" s="210"/>
    </row>
    <row r="152" spans="1:10" ht="16.5" thickBot="1" x14ac:dyDescent="0.25">
      <c r="A152" s="516" t="str">
        <f>F139</f>
        <v>Total (R$)</v>
      </c>
      <c r="B152" s="517"/>
      <c r="C152" s="518"/>
      <c r="D152" s="277" t="s">
        <v>286</v>
      </c>
      <c r="E152" s="383">
        <f>$B$49</f>
        <v>9.0899999999999995E-2</v>
      </c>
      <c r="F152" s="230">
        <f>(E151*E152)*1.08</f>
        <v>113.11369536285</v>
      </c>
      <c r="I152" s="210"/>
      <c r="J152" s="210"/>
    </row>
    <row r="153" spans="1:10" ht="11.25" customHeight="1" x14ac:dyDescent="0.2">
      <c r="I153" s="210"/>
      <c r="J153" s="210"/>
    </row>
    <row r="154" spans="1:10" ht="16.5" thickBot="1" x14ac:dyDescent="0.25">
      <c r="A154" s="239" t="s">
        <v>317</v>
      </c>
      <c r="I154" s="210"/>
      <c r="J154" s="210"/>
    </row>
    <row r="155" spans="1:10" ht="16.5" thickBot="1" x14ac:dyDescent="0.25">
      <c r="A155" s="183" t="s">
        <v>59</v>
      </c>
      <c r="B155" s="184" t="s">
        <v>60</v>
      </c>
      <c r="C155" s="184" t="s">
        <v>37</v>
      </c>
      <c r="D155" s="185" t="s">
        <v>216</v>
      </c>
      <c r="E155" s="185" t="s">
        <v>61</v>
      </c>
      <c r="F155" s="186" t="s">
        <v>285</v>
      </c>
      <c r="I155" s="210"/>
      <c r="J155" s="210"/>
    </row>
    <row r="156" spans="1:10" x14ac:dyDescent="0.2">
      <c r="A156" s="271" t="s">
        <v>10</v>
      </c>
      <c r="B156" s="187" t="s">
        <v>8</v>
      </c>
      <c r="C156" s="189">
        <v>1</v>
      </c>
      <c r="D156" s="189">
        <f>0.01*D124</f>
        <v>183</v>
      </c>
      <c r="E156" s="189">
        <f>C156*D156</f>
        <v>183</v>
      </c>
      <c r="F156" s="279"/>
      <c r="I156" s="210"/>
      <c r="J156" s="210"/>
    </row>
    <row r="157" spans="1:10" x14ac:dyDescent="0.2">
      <c r="A157" s="41" t="s">
        <v>184</v>
      </c>
      <c r="B157" s="42" t="s">
        <v>8</v>
      </c>
      <c r="C157" s="189">
        <v>1</v>
      </c>
      <c r="D157" s="217">
        <v>85.22</v>
      </c>
      <c r="E157" s="191">
        <f>C157*D157</f>
        <v>85.22</v>
      </c>
      <c r="F157" s="280"/>
      <c r="I157" s="210"/>
      <c r="J157" s="210"/>
    </row>
    <row r="158" spans="1:10" x14ac:dyDescent="0.2">
      <c r="A158" s="41" t="s">
        <v>11</v>
      </c>
      <c r="B158" s="42" t="s">
        <v>8</v>
      </c>
      <c r="C158" s="189">
        <v>1</v>
      </c>
      <c r="D158" s="217">
        <f>(D124+D129)*0.02</f>
        <v>3274</v>
      </c>
      <c r="E158" s="191">
        <f>C158*D158</f>
        <v>3274</v>
      </c>
      <c r="F158" s="300"/>
      <c r="I158" s="210"/>
      <c r="J158" s="210"/>
    </row>
    <row r="159" spans="1:10" x14ac:dyDescent="0.2">
      <c r="A159" s="295" t="s">
        <v>12</v>
      </c>
      <c r="B159" s="134" t="s">
        <v>6</v>
      </c>
      <c r="C159" s="134">
        <v>12</v>
      </c>
      <c r="D159" s="198">
        <f>SUM(E156:E158)</f>
        <v>3542.2200000000003</v>
      </c>
      <c r="E159" s="198">
        <f>D159/C159</f>
        <v>295.185</v>
      </c>
      <c r="F159" s="280"/>
      <c r="I159" s="210"/>
      <c r="J159" s="210"/>
    </row>
    <row r="160" spans="1:10" ht="16.5" thickBot="1" x14ac:dyDescent="0.25">
      <c r="A160" s="460" t="str">
        <f>F155</f>
        <v>Total (R$)</v>
      </c>
      <c r="B160" s="463"/>
      <c r="C160" s="497"/>
      <c r="D160" s="277" t="s">
        <v>286</v>
      </c>
      <c r="E160" s="382">
        <f>$B$49</f>
        <v>9.0899999999999995E-2</v>
      </c>
      <c r="F160" s="230">
        <f>E159*E160</f>
        <v>26.832316499999997</v>
      </c>
      <c r="I160" s="210"/>
      <c r="J160" s="210"/>
    </row>
    <row r="161" spans="1:10" ht="11.25" customHeight="1" x14ac:dyDescent="0.2">
      <c r="I161" s="210"/>
      <c r="J161" s="210"/>
    </row>
    <row r="162" spans="1:10" x14ac:dyDescent="0.2">
      <c r="A162" s="239" t="s">
        <v>318</v>
      </c>
      <c r="B162" s="218"/>
      <c r="I162" s="210"/>
      <c r="J162" s="210"/>
    </row>
    <row r="163" spans="1:10" ht="16.5" thickBot="1" x14ac:dyDescent="0.25">
      <c r="B163" s="218"/>
      <c r="I163" s="210"/>
      <c r="J163" s="210"/>
    </row>
    <row r="164" spans="1:10" ht="16.5" thickBot="1" x14ac:dyDescent="0.25">
      <c r="A164" s="203" t="s">
        <v>403</v>
      </c>
      <c r="B164" s="244">
        <v>16</v>
      </c>
      <c r="I164" s="210"/>
      <c r="J164" s="210"/>
    </row>
    <row r="165" spans="1:10" ht="16.5" thickBot="1" x14ac:dyDescent="0.25">
      <c r="B165" s="218"/>
      <c r="I165" s="210"/>
      <c r="J165" s="210"/>
    </row>
    <row r="166" spans="1:10" ht="16.5" thickBot="1" x14ac:dyDescent="0.25">
      <c r="A166" s="183" t="s">
        <v>59</v>
      </c>
      <c r="B166" s="184" t="s">
        <v>60</v>
      </c>
      <c r="C166" s="184" t="s">
        <v>404</v>
      </c>
      <c r="D166" s="185" t="s">
        <v>216</v>
      </c>
      <c r="E166" s="185" t="s">
        <v>61</v>
      </c>
      <c r="F166" s="186" t="s">
        <v>285</v>
      </c>
      <c r="I166" s="210"/>
      <c r="J166" s="210"/>
    </row>
    <row r="167" spans="1:10" x14ac:dyDescent="0.2">
      <c r="A167" s="406" t="s">
        <v>405</v>
      </c>
      <c r="B167" s="407" t="s">
        <v>406</v>
      </c>
      <c r="C167" s="408">
        <v>8</v>
      </c>
      <c r="D167" s="247">
        <v>6.49</v>
      </c>
      <c r="E167" s="409"/>
      <c r="F167" s="279"/>
      <c r="I167" s="210"/>
      <c r="J167" s="210"/>
    </row>
    <row r="168" spans="1:10" x14ac:dyDescent="0.2">
      <c r="A168" s="41" t="s">
        <v>15</v>
      </c>
      <c r="B168" s="42" t="s">
        <v>407</v>
      </c>
      <c r="C168" s="199">
        <f>SUM(B164)</f>
        <v>16</v>
      </c>
      <c r="D168" s="410">
        <f>IFERROR(+D167*C167,"-")</f>
        <v>51.92</v>
      </c>
      <c r="E168" s="191">
        <f>IFERROR(C168*D168,"-")</f>
        <v>830.72</v>
      </c>
      <c r="F168" s="280"/>
      <c r="I168" s="210"/>
      <c r="J168" s="210"/>
    </row>
    <row r="169" spans="1:10" x14ac:dyDescent="0.2">
      <c r="A169" s="41" t="s">
        <v>408</v>
      </c>
      <c r="B169" s="42" t="s">
        <v>409</v>
      </c>
      <c r="C169" s="411">
        <v>6</v>
      </c>
      <c r="D169" s="217">
        <v>17.3</v>
      </c>
      <c r="E169" s="191"/>
      <c r="F169" s="280"/>
      <c r="G169" s="219"/>
      <c r="H169" s="220"/>
      <c r="I169" s="210"/>
      <c r="J169" s="210"/>
    </row>
    <row r="170" spans="1:10" x14ac:dyDescent="0.2">
      <c r="A170" s="41" t="s">
        <v>18</v>
      </c>
      <c r="B170" s="42" t="s">
        <v>407</v>
      </c>
      <c r="C170" s="199">
        <f>C168</f>
        <v>16</v>
      </c>
      <c r="D170" s="410">
        <f>+C169*D169/1000</f>
        <v>0.10380000000000002</v>
      </c>
      <c r="E170" s="191">
        <f>C170*D170</f>
        <v>1.6608000000000003</v>
      </c>
      <c r="F170" s="280"/>
      <c r="G170" s="219"/>
      <c r="H170" s="220"/>
      <c r="I170" s="210"/>
      <c r="J170" s="210"/>
    </row>
    <row r="171" spans="1:10" x14ac:dyDescent="0.2">
      <c r="A171" s="41" t="s">
        <v>410</v>
      </c>
      <c r="B171" s="42" t="s">
        <v>409</v>
      </c>
      <c r="C171" s="411">
        <v>12</v>
      </c>
      <c r="D171" s="217">
        <v>18.8</v>
      </c>
      <c r="E171" s="191"/>
      <c r="F171" s="280"/>
      <c r="G171" s="219"/>
      <c r="H171" s="220"/>
      <c r="I171" s="210"/>
      <c r="J171" s="210"/>
    </row>
    <row r="172" spans="1:10" x14ac:dyDescent="0.2">
      <c r="A172" s="41" t="s">
        <v>19</v>
      </c>
      <c r="B172" s="42" t="s">
        <v>407</v>
      </c>
      <c r="C172" s="199">
        <f>C168</f>
        <v>16</v>
      </c>
      <c r="D172" s="410">
        <f>+C171*D171/1000</f>
        <v>0.22560000000000002</v>
      </c>
      <c r="E172" s="191">
        <f>C172*D172</f>
        <v>3.6096000000000004</v>
      </c>
      <c r="F172" s="280"/>
      <c r="G172" s="219"/>
      <c r="H172" s="220"/>
      <c r="I172" s="210"/>
      <c r="J172" s="210"/>
    </row>
    <row r="173" spans="1:10" x14ac:dyDescent="0.2">
      <c r="A173" s="41" t="s">
        <v>411</v>
      </c>
      <c r="B173" s="42" t="s">
        <v>409</v>
      </c>
      <c r="C173" s="411">
        <v>18</v>
      </c>
      <c r="D173" s="217">
        <v>17.75</v>
      </c>
      <c r="E173" s="191"/>
      <c r="F173" s="280"/>
      <c r="G173" s="219"/>
      <c r="H173" s="220"/>
      <c r="I173" s="210"/>
      <c r="J173" s="210"/>
    </row>
    <row r="174" spans="1:10" x14ac:dyDescent="0.2">
      <c r="A174" s="41" t="s">
        <v>20</v>
      </c>
      <c r="B174" s="42" t="s">
        <v>407</v>
      </c>
      <c r="C174" s="199">
        <f>C168</f>
        <v>16</v>
      </c>
      <c r="D174" s="410">
        <f>+C173*D173/1000</f>
        <v>0.31950000000000001</v>
      </c>
      <c r="E174" s="191">
        <f>C174*D174</f>
        <v>5.1120000000000001</v>
      </c>
      <c r="F174" s="280"/>
      <c r="G174" s="219"/>
      <c r="H174" s="220"/>
      <c r="I174" s="210"/>
      <c r="J174" s="210"/>
    </row>
    <row r="175" spans="1:10" x14ac:dyDescent="0.2">
      <c r="A175" s="41" t="s">
        <v>412</v>
      </c>
      <c r="B175" s="42" t="s">
        <v>413</v>
      </c>
      <c r="C175" s="411">
        <v>4</v>
      </c>
      <c r="D175" s="217">
        <v>16.2</v>
      </c>
      <c r="E175" s="191"/>
      <c r="F175" s="280"/>
      <c r="G175" s="219"/>
      <c r="H175" s="220"/>
      <c r="I175" s="210"/>
      <c r="J175" s="210"/>
    </row>
    <row r="176" spans="1:10" x14ac:dyDescent="0.2">
      <c r="A176" s="41" t="s">
        <v>23</v>
      </c>
      <c r="B176" s="42" t="s">
        <v>407</v>
      </c>
      <c r="C176" s="199">
        <f>C168</f>
        <v>16</v>
      </c>
      <c r="D176" s="410">
        <f>+C175*D175/1000</f>
        <v>6.4799999999999996E-2</v>
      </c>
      <c r="E176" s="191">
        <f>C176*D176</f>
        <v>1.0367999999999999</v>
      </c>
      <c r="F176" s="280"/>
      <c r="G176" s="219"/>
      <c r="H176" s="220"/>
      <c r="I176" s="210"/>
      <c r="J176" s="210"/>
    </row>
    <row r="177" spans="1:10" x14ac:dyDescent="0.2">
      <c r="A177" s="295" t="s">
        <v>414</v>
      </c>
      <c r="B177" s="134" t="s">
        <v>415</v>
      </c>
      <c r="C177" s="221"/>
      <c r="D177" s="222">
        <f>IFERROR(D168+D170+D172+D174+D176,0)</f>
        <v>52.633699999999997</v>
      </c>
      <c r="E177" s="191"/>
      <c r="F177" s="280"/>
      <c r="G177" s="219"/>
      <c r="H177" s="220"/>
      <c r="I177" s="210"/>
      <c r="J177" s="210"/>
    </row>
    <row r="178" spans="1:10" ht="16.5" thickBot="1" x14ac:dyDescent="0.25">
      <c r="A178" s="460" t="str">
        <f>F166</f>
        <v>Total (R$)</v>
      </c>
      <c r="B178" s="463"/>
      <c r="C178" s="463"/>
      <c r="D178" s="463"/>
      <c r="E178" s="497"/>
      <c r="F178" s="230">
        <f>SUM(E167:E176)</f>
        <v>842.13919999999996</v>
      </c>
      <c r="I178" s="210"/>
      <c r="J178" s="210"/>
    </row>
    <row r="179" spans="1:10" ht="11.25" customHeight="1" x14ac:dyDescent="0.2">
      <c r="I179" s="210"/>
      <c r="J179" s="210"/>
    </row>
    <row r="180" spans="1:10" ht="16.5" thickBot="1" x14ac:dyDescent="0.25">
      <c r="A180" s="239" t="s">
        <v>319</v>
      </c>
      <c r="I180" s="210"/>
      <c r="J180" s="210"/>
    </row>
    <row r="181" spans="1:10" ht="16.5" thickBot="1" x14ac:dyDescent="0.25">
      <c r="A181" s="183" t="s">
        <v>59</v>
      </c>
      <c r="B181" s="184" t="s">
        <v>60</v>
      </c>
      <c r="C181" s="184" t="s">
        <v>37</v>
      </c>
      <c r="D181" s="185" t="s">
        <v>216</v>
      </c>
      <c r="E181" s="185" t="s">
        <v>61</v>
      </c>
      <c r="F181" s="186" t="s">
        <v>285</v>
      </c>
      <c r="I181" s="210"/>
      <c r="J181" s="210"/>
    </row>
    <row r="182" spans="1:10" x14ac:dyDescent="0.2">
      <c r="A182" s="271" t="s">
        <v>312</v>
      </c>
      <c r="B182" s="187" t="s">
        <v>415</v>
      </c>
      <c r="C182" s="199">
        <f>C168</f>
        <v>16</v>
      </c>
      <c r="D182" s="188">
        <v>1.22</v>
      </c>
      <c r="E182" s="234">
        <f>C182*D182</f>
        <v>19.52</v>
      </c>
      <c r="F182" s="279"/>
      <c r="I182" s="210"/>
      <c r="J182" s="210"/>
    </row>
    <row r="183" spans="1:10" ht="16.5" thickBot="1" x14ac:dyDescent="0.25">
      <c r="A183" s="460" t="str">
        <f>F181</f>
        <v>Total (R$)</v>
      </c>
      <c r="B183" s="463"/>
      <c r="C183" s="463"/>
      <c r="D183" s="463"/>
      <c r="E183" s="497"/>
      <c r="F183" s="230">
        <f>E182</f>
        <v>19.52</v>
      </c>
      <c r="I183" s="210"/>
      <c r="J183" s="210"/>
    </row>
    <row r="184" spans="1:10" ht="16.5" thickBot="1" x14ac:dyDescent="0.25">
      <c r="A184" s="239" t="s">
        <v>320</v>
      </c>
      <c r="I184" s="210"/>
      <c r="J184" s="210"/>
    </row>
    <row r="185" spans="1:10" ht="16.5" thickBot="1" x14ac:dyDescent="0.25">
      <c r="A185" s="183" t="s">
        <v>59</v>
      </c>
      <c r="B185" s="184" t="s">
        <v>60</v>
      </c>
      <c r="C185" s="184" t="s">
        <v>37</v>
      </c>
      <c r="D185" s="185" t="s">
        <v>216</v>
      </c>
      <c r="E185" s="185" t="s">
        <v>61</v>
      </c>
      <c r="F185" s="186" t="s">
        <v>285</v>
      </c>
      <c r="I185" s="210"/>
      <c r="J185" s="210"/>
    </row>
    <row r="186" spans="1:10" x14ac:dyDescent="0.2">
      <c r="A186" s="271" t="s">
        <v>388</v>
      </c>
      <c r="B186" s="187" t="s">
        <v>8</v>
      </c>
      <c r="C186" s="223">
        <v>2</v>
      </c>
      <c r="D186" s="188">
        <v>1737</v>
      </c>
      <c r="E186" s="234">
        <f>C186*D186</f>
        <v>3474</v>
      </c>
      <c r="F186" s="279"/>
      <c r="I186" s="210"/>
      <c r="J186" s="210"/>
    </row>
    <row r="187" spans="1:10" x14ac:dyDescent="0.2">
      <c r="A187" s="271" t="s">
        <v>387</v>
      </c>
      <c r="B187" s="187" t="s">
        <v>8</v>
      </c>
      <c r="C187" s="223">
        <v>2</v>
      </c>
      <c r="D187" s="188">
        <v>3700</v>
      </c>
      <c r="E187" s="234">
        <f>C187*D187</f>
        <v>7400</v>
      </c>
      <c r="F187" s="280"/>
      <c r="I187" s="210"/>
      <c r="J187" s="210"/>
    </row>
    <row r="188" spans="1:10" x14ac:dyDescent="0.2">
      <c r="A188" s="271" t="s">
        <v>110</v>
      </c>
      <c r="B188" s="187" t="s">
        <v>8</v>
      </c>
      <c r="C188" s="223">
        <v>1</v>
      </c>
      <c r="D188" s="224"/>
      <c r="E188" s="234"/>
      <c r="F188" s="280"/>
      <c r="I188" s="210"/>
      <c r="J188" s="210"/>
    </row>
    <row r="189" spans="1:10" x14ac:dyDescent="0.2">
      <c r="A189" s="271" t="s">
        <v>389</v>
      </c>
      <c r="B189" s="187" t="s">
        <v>8</v>
      </c>
      <c r="C189" s="189">
        <v>1</v>
      </c>
      <c r="D189" s="188">
        <v>820</v>
      </c>
      <c r="E189" s="234">
        <f>C189*D189</f>
        <v>820</v>
      </c>
      <c r="F189" s="280"/>
      <c r="I189" s="210"/>
      <c r="J189" s="210"/>
    </row>
    <row r="190" spans="1:10" x14ac:dyDescent="0.2">
      <c r="A190" s="271" t="s">
        <v>390</v>
      </c>
      <c r="B190" s="187" t="s">
        <v>8</v>
      </c>
      <c r="C190" s="189">
        <v>1</v>
      </c>
      <c r="D190" s="188">
        <v>2145</v>
      </c>
      <c r="E190" s="234">
        <f>C190*D190</f>
        <v>2145</v>
      </c>
      <c r="F190" s="280"/>
      <c r="I190" s="210"/>
      <c r="J190" s="210"/>
    </row>
    <row r="191" spans="1:10" x14ac:dyDescent="0.2">
      <c r="A191" s="41" t="s">
        <v>385</v>
      </c>
      <c r="B191" s="42" t="s">
        <v>386</v>
      </c>
      <c r="C191" s="225">
        <v>12000</v>
      </c>
      <c r="D191" s="191">
        <f>E186+E187+E189+E190</f>
        <v>13839</v>
      </c>
      <c r="E191" s="233">
        <f>IFERROR(D191/C191,"-")</f>
        <v>1.1532500000000001</v>
      </c>
      <c r="F191" s="280"/>
      <c r="I191" s="210"/>
      <c r="J191" s="210"/>
    </row>
    <row r="192" spans="1:10" x14ac:dyDescent="0.2">
      <c r="A192" s="41" t="s">
        <v>52</v>
      </c>
      <c r="B192" s="42" t="s">
        <v>386</v>
      </c>
      <c r="C192" s="199">
        <f>B164</f>
        <v>16</v>
      </c>
      <c r="D192" s="191">
        <f>E191</f>
        <v>1.1532500000000001</v>
      </c>
      <c r="E192" s="233">
        <f>IFERROR(C192*D192,0)</f>
        <v>18.452000000000002</v>
      </c>
      <c r="F192" s="280"/>
      <c r="I192" s="210"/>
      <c r="J192" s="210"/>
    </row>
    <row r="193" spans="1:10" ht="16.5" thickBot="1" x14ac:dyDescent="0.25">
      <c r="A193" s="460" t="str">
        <f>F185</f>
        <v>Total (R$)</v>
      </c>
      <c r="B193" s="461"/>
      <c r="C193" s="461"/>
      <c r="D193" s="461"/>
      <c r="E193" s="462"/>
      <c r="F193" s="230">
        <f>E192</f>
        <v>18.452000000000002</v>
      </c>
      <c r="I193" s="210"/>
      <c r="J193" s="210"/>
    </row>
    <row r="194" spans="1:10" ht="11.25" customHeight="1" x14ac:dyDescent="0.2">
      <c r="I194" s="210"/>
      <c r="J194" s="210"/>
    </row>
    <row r="195" spans="1:10" ht="11.25" customHeight="1" thickBot="1" x14ac:dyDescent="0.25">
      <c r="G195" s="109"/>
    </row>
    <row r="196" spans="1:10" ht="16.5" thickBot="1" x14ac:dyDescent="0.25">
      <c r="A196" s="236" t="s">
        <v>208</v>
      </c>
      <c r="B196" s="237"/>
      <c r="C196" s="237"/>
      <c r="D196" s="172"/>
      <c r="E196" s="172"/>
      <c r="F196" s="336">
        <f>+SUM(F124:F195)</f>
        <v>1117.1064514228499</v>
      </c>
      <c r="G196" s="109"/>
    </row>
    <row r="197" spans="1:10" ht="11.25" customHeight="1" x14ac:dyDescent="0.2">
      <c r="G197" s="109"/>
    </row>
    <row r="198" spans="1:10" x14ac:dyDescent="0.2">
      <c r="A198" s="142" t="s">
        <v>68</v>
      </c>
      <c r="B198" s="142"/>
      <c r="C198" s="142"/>
      <c r="D198" s="143"/>
      <c r="E198" s="143"/>
      <c r="F198" s="226"/>
      <c r="G198" s="109"/>
    </row>
    <row r="199" spans="1:10" ht="11.25" customHeight="1" thickBot="1" x14ac:dyDescent="0.25">
      <c r="G199" s="109"/>
    </row>
    <row r="200" spans="1:10" ht="16.5" thickBot="1" x14ac:dyDescent="0.25">
      <c r="A200" s="183" t="s">
        <v>59</v>
      </c>
      <c r="B200" s="184" t="s">
        <v>60</v>
      </c>
      <c r="C200" s="184" t="s">
        <v>37</v>
      </c>
      <c r="D200" s="185" t="s">
        <v>216</v>
      </c>
      <c r="E200" s="185" t="s">
        <v>61</v>
      </c>
      <c r="F200" s="186" t="s">
        <v>285</v>
      </c>
      <c r="G200" s="109"/>
    </row>
    <row r="201" spans="1:10" x14ac:dyDescent="0.2">
      <c r="A201" s="41" t="s">
        <v>66</v>
      </c>
      <c r="B201" s="42" t="s">
        <v>8</v>
      </c>
      <c r="C201" s="205">
        <v>0.16666666666666666</v>
      </c>
      <c r="D201" s="188">
        <v>33.85</v>
      </c>
      <c r="E201" s="233">
        <f>C201*D201</f>
        <v>5.6416666666666666</v>
      </c>
      <c r="F201" s="299"/>
      <c r="G201" s="109"/>
    </row>
    <row r="202" spans="1:10" x14ac:dyDescent="0.2">
      <c r="A202" s="41" t="s">
        <v>25</v>
      </c>
      <c r="B202" s="42" t="s">
        <v>8</v>
      </c>
      <c r="C202" s="205">
        <v>0.33333333333333331</v>
      </c>
      <c r="D202" s="188">
        <v>34.19</v>
      </c>
      <c r="E202" s="233">
        <f>C202*D202</f>
        <v>11.396666666666665</v>
      </c>
      <c r="F202" s="293"/>
      <c r="G202" s="109"/>
    </row>
    <row r="203" spans="1:10" x14ac:dyDescent="0.2">
      <c r="A203" s="41" t="s">
        <v>416</v>
      </c>
      <c r="B203" s="42" t="s">
        <v>8</v>
      </c>
      <c r="C203" s="205">
        <v>0.33333333333333331</v>
      </c>
      <c r="D203" s="188">
        <v>21.6</v>
      </c>
      <c r="E203" s="233">
        <f>C203*D203</f>
        <v>7.2</v>
      </c>
      <c r="F203" s="293"/>
      <c r="G203" s="109"/>
    </row>
    <row r="204" spans="1:10" ht="16.5" thickBot="1" x14ac:dyDescent="0.25">
      <c r="A204" s="460" t="str">
        <f>F200</f>
        <v>Total (R$)</v>
      </c>
      <c r="B204" s="463"/>
      <c r="C204" s="463"/>
      <c r="D204" s="463"/>
      <c r="E204" s="497"/>
      <c r="F204" s="230">
        <f>SUM(E201:E203)</f>
        <v>24.23833333333333</v>
      </c>
      <c r="G204" s="109"/>
    </row>
    <row r="205" spans="1:10" ht="11.25" customHeight="1" thickBot="1" x14ac:dyDescent="0.25">
      <c r="G205" s="109"/>
    </row>
    <row r="206" spans="1:10" ht="16.5" thickBot="1" x14ac:dyDescent="0.25">
      <c r="A206" s="492" t="s">
        <v>209</v>
      </c>
      <c r="B206" s="493"/>
      <c r="C206" s="493"/>
      <c r="D206" s="493"/>
      <c r="E206" s="493"/>
      <c r="F206" s="196">
        <f>+F204</f>
        <v>24.23833333333333</v>
      </c>
      <c r="G206" s="109"/>
    </row>
    <row r="207" spans="1:10" ht="11.25" customHeight="1" x14ac:dyDescent="0.2">
      <c r="G207" s="109"/>
    </row>
    <row r="208" spans="1:10" x14ac:dyDescent="0.2">
      <c r="A208" s="142" t="s">
        <v>69</v>
      </c>
      <c r="B208" s="142"/>
      <c r="C208" s="142"/>
      <c r="D208" s="143"/>
      <c r="E208" s="143"/>
      <c r="F208" s="226"/>
    </row>
    <row r="209" spans="1:7" ht="11.25" customHeight="1" thickBot="1" x14ac:dyDescent="0.25"/>
    <row r="210" spans="1:7" ht="16.5" thickBot="1" x14ac:dyDescent="0.25">
      <c r="A210" s="183" t="s">
        <v>59</v>
      </c>
      <c r="B210" s="184" t="s">
        <v>60</v>
      </c>
      <c r="C210" s="184" t="s">
        <v>37</v>
      </c>
      <c r="D210" s="185" t="s">
        <v>216</v>
      </c>
      <c r="E210" s="185" t="s">
        <v>61</v>
      </c>
      <c r="F210" s="186" t="s">
        <v>285</v>
      </c>
    </row>
    <row r="211" spans="1:7" x14ac:dyDescent="0.2">
      <c r="A211" s="41" t="s">
        <v>206</v>
      </c>
      <c r="B211" s="42" t="s">
        <v>54</v>
      </c>
      <c r="C211" s="208">
        <f>SUM(C135)</f>
        <v>1</v>
      </c>
      <c r="D211" s="217">
        <v>250</v>
      </c>
      <c r="E211" s="191">
        <f>+D211*C211</f>
        <v>250</v>
      </c>
      <c r="F211" s="299"/>
    </row>
    <row r="212" spans="1:7" x14ac:dyDescent="0.2">
      <c r="A212" s="41" t="s">
        <v>56</v>
      </c>
      <c r="B212" s="42" t="s">
        <v>6</v>
      </c>
      <c r="C212" s="227">
        <v>60</v>
      </c>
      <c r="D212" s="191">
        <f>SUM(E211:E211)</f>
        <v>250</v>
      </c>
      <c r="E212" s="191">
        <f>+D212/C212</f>
        <v>4.166666666666667</v>
      </c>
      <c r="F212" s="293"/>
    </row>
    <row r="213" spans="1:7" x14ac:dyDescent="0.2">
      <c r="A213" s="41" t="s">
        <v>207</v>
      </c>
      <c r="B213" s="42" t="s">
        <v>8</v>
      </c>
      <c r="C213" s="208">
        <f>+C211</f>
        <v>1</v>
      </c>
      <c r="D213" s="217">
        <v>75</v>
      </c>
      <c r="E213" s="191">
        <f>C213*D213</f>
        <v>75</v>
      </c>
      <c r="F213" s="293"/>
    </row>
    <row r="214" spans="1:7" x14ac:dyDescent="0.2">
      <c r="A214" s="41" t="s">
        <v>34</v>
      </c>
      <c r="B214" s="42" t="s">
        <v>6</v>
      </c>
      <c r="C214" s="227">
        <v>1</v>
      </c>
      <c r="D214" s="191">
        <f>+E213</f>
        <v>75</v>
      </c>
      <c r="E214" s="191">
        <f>+D214/C214</f>
        <v>75</v>
      </c>
      <c r="F214" s="293"/>
    </row>
    <row r="215" spans="1:7" ht="16.5" thickBot="1" x14ac:dyDescent="0.25">
      <c r="A215" s="460" t="str">
        <f>F210</f>
        <v>Total (R$)</v>
      </c>
      <c r="B215" s="463"/>
      <c r="C215" s="463"/>
      <c r="D215" s="277" t="s">
        <v>286</v>
      </c>
      <c r="E215" s="383">
        <f>$B$49</f>
        <v>9.0899999999999995E-2</v>
      </c>
      <c r="F215" s="330">
        <f>(E212+E214)*E215</f>
        <v>7.19625</v>
      </c>
    </row>
    <row r="216" spans="1:7" s="229" customFormat="1" ht="11.25" customHeight="1" thickBot="1" x14ac:dyDescent="0.25">
      <c r="A216" s="109"/>
      <c r="B216" s="109"/>
      <c r="C216" s="109"/>
      <c r="D216" s="145"/>
      <c r="E216" s="145"/>
      <c r="F216" s="145"/>
      <c r="G216" s="228"/>
    </row>
    <row r="217" spans="1:7" ht="16.5" thickBot="1" x14ac:dyDescent="0.25">
      <c r="A217" s="492" t="s">
        <v>205</v>
      </c>
      <c r="B217" s="493"/>
      <c r="C217" s="493"/>
      <c r="D217" s="493"/>
      <c r="E217" s="493"/>
      <c r="F217" s="196">
        <f>+F215</f>
        <v>7.19625</v>
      </c>
    </row>
    <row r="218" spans="1:7" ht="11.25" customHeight="1" thickBot="1" x14ac:dyDescent="0.25"/>
    <row r="219" spans="1:7" ht="17.25" customHeight="1" thickBot="1" x14ac:dyDescent="0.25">
      <c r="A219" s="492" t="s">
        <v>210</v>
      </c>
      <c r="B219" s="493"/>
      <c r="C219" s="493"/>
      <c r="D219" s="493"/>
      <c r="E219" s="493"/>
      <c r="F219" s="331">
        <f>+F99+F116+F196+F206+F217</f>
        <v>2773.2413829209213</v>
      </c>
    </row>
    <row r="220" spans="1:7" ht="11.25" customHeight="1" x14ac:dyDescent="0.2"/>
    <row r="221" spans="1:7" x14ac:dyDescent="0.2">
      <c r="A221" s="118" t="s">
        <v>83</v>
      </c>
    </row>
    <row r="222" spans="1:7" ht="11.25" customHeight="1" thickBot="1" x14ac:dyDescent="0.25"/>
    <row r="223" spans="1:7" ht="16.5" thickBot="1" x14ac:dyDescent="0.25">
      <c r="A223" s="183" t="s">
        <v>59</v>
      </c>
      <c r="B223" s="184" t="s">
        <v>60</v>
      </c>
      <c r="C223" s="184" t="s">
        <v>37</v>
      </c>
      <c r="D223" s="185" t="s">
        <v>216</v>
      </c>
      <c r="E223" s="185" t="s">
        <v>61</v>
      </c>
      <c r="F223" s="186" t="s">
        <v>285</v>
      </c>
    </row>
    <row r="224" spans="1:7" x14ac:dyDescent="0.2">
      <c r="A224" s="271" t="s">
        <v>33</v>
      </c>
      <c r="B224" s="187" t="s">
        <v>2</v>
      </c>
      <c r="C224" s="194">
        <f>'4.BDI'!B14*100</f>
        <v>27.310000000000002</v>
      </c>
      <c r="D224" s="189">
        <f>+F219</f>
        <v>2773.2413829209213</v>
      </c>
      <c r="E224" s="234">
        <f>C224*D224/100</f>
        <v>757.3722216757036</v>
      </c>
      <c r="F224" s="279"/>
    </row>
    <row r="225" spans="1:10" ht="16.5" thickBot="1" x14ac:dyDescent="0.25">
      <c r="A225" s="460" t="str">
        <f>F223</f>
        <v>Total (R$)</v>
      </c>
      <c r="B225" s="463"/>
      <c r="C225" s="463"/>
      <c r="D225" s="463"/>
      <c r="E225" s="463"/>
      <c r="F225" s="288">
        <f>+E224</f>
        <v>757.3722216757036</v>
      </c>
    </row>
    <row r="226" spans="1:10" ht="11.25" customHeight="1" thickBot="1" x14ac:dyDescent="0.25"/>
    <row r="227" spans="1:10" ht="16.5" thickBot="1" x14ac:dyDescent="0.25">
      <c r="A227" s="492" t="s">
        <v>220</v>
      </c>
      <c r="B227" s="493"/>
      <c r="C227" s="493"/>
      <c r="D227" s="493"/>
      <c r="E227" s="493"/>
      <c r="F227" s="331">
        <f>F225</f>
        <v>757.3722216757036</v>
      </c>
    </row>
    <row r="228" spans="1:10" x14ac:dyDescent="0.2">
      <c r="A228" s="142"/>
      <c r="B228" s="142"/>
      <c r="C228" s="142"/>
      <c r="D228" s="143"/>
      <c r="E228" s="143"/>
      <c r="F228" s="226"/>
    </row>
    <row r="229" spans="1:10" ht="11.25" customHeight="1" thickBot="1" x14ac:dyDescent="0.25"/>
    <row r="230" spans="1:10" ht="16.5" thickBot="1" x14ac:dyDescent="0.25">
      <c r="A230" s="236" t="s">
        <v>211</v>
      </c>
      <c r="B230" s="291"/>
      <c r="C230" s="291"/>
      <c r="D230" s="292"/>
      <c r="E230" s="292"/>
      <c r="F230" s="331">
        <f>F219+F227</f>
        <v>3530.613604596625</v>
      </c>
    </row>
    <row r="231" spans="1:10" ht="12.6" customHeight="1" x14ac:dyDescent="0.2">
      <c r="A231" s="142"/>
      <c r="B231" s="142"/>
      <c r="C231" s="142"/>
      <c r="D231" s="143"/>
      <c r="E231" s="143"/>
      <c r="F231" s="143"/>
    </row>
    <row r="233" spans="1:10" ht="12.6" customHeight="1" x14ac:dyDescent="0.2">
      <c r="A233" s="142"/>
      <c r="B233" s="142"/>
      <c r="C233" s="142"/>
      <c r="D233" s="143"/>
      <c r="E233" s="143"/>
      <c r="F233" s="143"/>
    </row>
    <row r="234" spans="1:10" s="145" customFormat="1" ht="9.75" customHeight="1" x14ac:dyDescent="0.2">
      <c r="A234" s="144"/>
      <c r="H234" s="109"/>
      <c r="I234" s="109"/>
      <c r="J234" s="109"/>
    </row>
    <row r="235" spans="1:10" s="145" customFormat="1" ht="9.75" customHeight="1" x14ac:dyDescent="0.2">
      <c r="A235" s="144"/>
      <c r="H235" s="109"/>
      <c r="I235" s="109"/>
      <c r="J235" s="109"/>
    </row>
    <row r="236" spans="1:10" s="145" customFormat="1" ht="9.75" customHeight="1" x14ac:dyDescent="0.2">
      <c r="A236" s="144"/>
      <c r="H236" s="109"/>
      <c r="I236" s="109"/>
      <c r="J236" s="109"/>
    </row>
    <row r="266" s="109" customFormat="1" ht="9" customHeight="1" x14ac:dyDescent="0.2"/>
  </sheetData>
  <mergeCells count="57">
    <mergeCell ref="A215:C215"/>
    <mergeCell ref="A217:E217"/>
    <mergeCell ref="A219:E219"/>
    <mergeCell ref="A225:E225"/>
    <mergeCell ref="A227:E227"/>
    <mergeCell ref="A104:F104"/>
    <mergeCell ref="A206:E206"/>
    <mergeCell ref="A101:F101"/>
    <mergeCell ref="A102:F102"/>
    <mergeCell ref="A103:F103"/>
    <mergeCell ref="A114:C114"/>
    <mergeCell ref="A136:C136"/>
    <mergeCell ref="A152:C152"/>
    <mergeCell ref="A160:C160"/>
    <mergeCell ref="A178:E178"/>
    <mergeCell ref="A183:E183"/>
    <mergeCell ref="A193:E193"/>
    <mergeCell ref="A204:E204"/>
    <mergeCell ref="C120:E120"/>
    <mergeCell ref="A100:F100"/>
    <mergeCell ref="A74:D74"/>
    <mergeCell ref="A77:F77"/>
    <mergeCell ref="A78:F78"/>
    <mergeCell ref="A53:F53"/>
    <mergeCell ref="A66:F66"/>
    <mergeCell ref="A72:D72"/>
    <mergeCell ref="A79:F79"/>
    <mergeCell ref="A86:F86"/>
    <mergeCell ref="A87:F87"/>
    <mergeCell ref="A92:F92"/>
    <mergeCell ref="A93:F93"/>
    <mergeCell ref="A76:C76"/>
    <mergeCell ref="A85:E85"/>
    <mergeCell ref="A91:E91"/>
    <mergeCell ref="A97:C97"/>
    <mergeCell ref="A7:F7"/>
    <mergeCell ref="A6:F6"/>
    <mergeCell ref="A1:F1"/>
    <mergeCell ref="A2:F2"/>
    <mergeCell ref="A3:F3"/>
    <mergeCell ref="A4:F4"/>
    <mergeCell ref="A5:F5"/>
    <mergeCell ref="A59:D59"/>
    <mergeCell ref="A61:D61"/>
    <mergeCell ref="A63:C63"/>
    <mergeCell ref="A64:F64"/>
    <mergeCell ref="A8:F8"/>
    <mergeCell ref="A9:F9"/>
    <mergeCell ref="A51:F51"/>
    <mergeCell ref="A52:F52"/>
    <mergeCell ref="A11:F11"/>
    <mergeCell ref="A19:C19"/>
    <mergeCell ref="A34:E34"/>
    <mergeCell ref="A35:D35"/>
    <mergeCell ref="A40:D40"/>
    <mergeCell ref="A50:F50"/>
    <mergeCell ref="A44:D44"/>
  </mergeCells>
  <hyperlinks>
    <hyperlink ref="A138" location="AbaRemun" display="3.1.2. Remuneração do Capital"/>
    <hyperlink ref="A122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63" fitToHeight="0" orientation="portrait" r:id="rId1"/>
  <headerFooter alignWithMargins="0">
    <oddFooter>&amp;R&amp;P de &amp;N</oddFooter>
  </headerFooter>
  <rowBreaks count="4" manualBreakCount="4">
    <brk id="50" max="5" man="1"/>
    <brk id="78" max="5" man="1"/>
    <brk id="117" max="5" man="1"/>
    <brk id="183" max="5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65"/>
  <sheetViews>
    <sheetView view="pageBreakPreview" topLeftCell="A205" zoomScaleNormal="100" zoomScaleSheetLayoutView="100" workbookViewId="0">
      <selection activeCell="E142" sqref="E142"/>
    </sheetView>
  </sheetViews>
  <sheetFormatPr defaultColWidth="9.140625" defaultRowHeight="15.75" x14ac:dyDescent="0.2"/>
  <cols>
    <col min="1" max="1" width="61.85546875" style="109" customWidth="1"/>
    <col min="2" max="2" width="19.85546875" style="109" customWidth="1"/>
    <col min="3" max="3" width="14.7109375" style="109" customWidth="1"/>
    <col min="4" max="4" width="14.7109375" style="145" customWidth="1"/>
    <col min="5" max="5" width="17.28515625" style="145" customWidth="1"/>
    <col min="6" max="6" width="13.28515625" style="145" customWidth="1"/>
    <col min="7" max="7" width="28.140625" style="145" customWidth="1"/>
    <col min="8" max="8" width="15.140625" style="109" bestFit="1" customWidth="1"/>
    <col min="9" max="9" width="14.5703125" style="109" customWidth="1"/>
    <col min="10" max="10" width="13.42578125" style="109" customWidth="1"/>
    <col min="11" max="16384" width="9.140625" style="109"/>
  </cols>
  <sheetData>
    <row r="1" spans="1:6" x14ac:dyDescent="0.2">
      <c r="A1" s="431" t="s">
        <v>189</v>
      </c>
      <c r="B1" s="431"/>
      <c r="C1" s="431"/>
      <c r="D1" s="431"/>
      <c r="E1" s="431"/>
      <c r="F1" s="431"/>
    </row>
    <row r="2" spans="1:6" ht="15.6" customHeight="1" x14ac:dyDescent="0.2">
      <c r="A2" s="432" t="s">
        <v>283</v>
      </c>
      <c r="B2" s="432"/>
      <c r="C2" s="432"/>
      <c r="D2" s="432"/>
      <c r="E2" s="432"/>
      <c r="F2" s="432"/>
    </row>
    <row r="3" spans="1:6" ht="15.6" customHeight="1" x14ac:dyDescent="0.2">
      <c r="A3" s="472" t="s">
        <v>284</v>
      </c>
      <c r="B3" s="472"/>
      <c r="C3" s="472"/>
      <c r="D3" s="472"/>
      <c r="E3" s="472"/>
      <c r="F3" s="472"/>
    </row>
    <row r="4" spans="1:6" ht="16.5" customHeight="1" thickBot="1" x14ac:dyDescent="0.25">
      <c r="A4" s="433"/>
      <c r="B4" s="433"/>
      <c r="C4" s="433"/>
      <c r="D4" s="433"/>
      <c r="E4" s="433"/>
      <c r="F4" s="433"/>
    </row>
    <row r="5" spans="1:6" x14ac:dyDescent="0.2">
      <c r="A5" s="434" t="s">
        <v>335</v>
      </c>
      <c r="B5" s="435"/>
      <c r="C5" s="435"/>
      <c r="D5" s="435"/>
      <c r="E5" s="435"/>
      <c r="F5" s="436"/>
    </row>
    <row r="6" spans="1:6" ht="21.75" customHeight="1" thickBot="1" x14ac:dyDescent="0.25">
      <c r="A6" s="511" t="s">
        <v>40</v>
      </c>
      <c r="B6" s="512"/>
      <c r="C6" s="512"/>
      <c r="D6" s="512"/>
      <c r="E6" s="512"/>
      <c r="F6" s="513"/>
    </row>
    <row r="7" spans="1:6" x14ac:dyDescent="0.2">
      <c r="A7" s="521" t="s">
        <v>485</v>
      </c>
      <c r="B7" s="521"/>
      <c r="C7" s="521"/>
      <c r="D7" s="521"/>
      <c r="E7" s="521"/>
      <c r="F7" s="521"/>
    </row>
    <row r="8" spans="1:6" ht="34.5" customHeight="1" x14ac:dyDescent="0.2">
      <c r="A8" s="504" t="s">
        <v>486</v>
      </c>
      <c r="B8" s="505"/>
      <c r="C8" s="505"/>
      <c r="D8" s="505"/>
      <c r="E8" s="505"/>
      <c r="F8" s="505"/>
    </row>
    <row r="9" spans="1:6" x14ac:dyDescent="0.2">
      <c r="A9" s="266" t="s">
        <v>444</v>
      </c>
      <c r="B9" s="267" t="s">
        <v>468</v>
      </c>
      <c r="C9" s="524" t="s">
        <v>445</v>
      </c>
      <c r="D9" s="524"/>
      <c r="E9" s="267" t="s">
        <v>448</v>
      </c>
      <c r="F9" s="119"/>
    </row>
    <row r="10" spans="1:6" x14ac:dyDescent="0.2">
      <c r="A10" s="266" t="s">
        <v>450</v>
      </c>
      <c r="B10" s="267" t="s">
        <v>469</v>
      </c>
      <c r="C10" s="524" t="s">
        <v>451</v>
      </c>
      <c r="D10" s="524"/>
      <c r="E10" s="267" t="s">
        <v>452</v>
      </c>
      <c r="F10" s="119"/>
    </row>
    <row r="11" spans="1:6" x14ac:dyDescent="0.2">
      <c r="A11" s="266" t="s">
        <v>358</v>
      </c>
      <c r="B11" s="267" t="s">
        <v>470</v>
      </c>
      <c r="C11" s="524" t="s">
        <v>446</v>
      </c>
      <c r="D11" s="524"/>
      <c r="E11" s="267" t="s">
        <v>447</v>
      </c>
      <c r="F11" s="119"/>
    </row>
    <row r="12" spans="1:6" x14ac:dyDescent="0.2">
      <c r="A12" s="268" t="s">
        <v>483</v>
      </c>
      <c r="B12" s="267" t="s">
        <v>471</v>
      </c>
      <c r="C12" s="525" t="s">
        <v>483</v>
      </c>
      <c r="D12" s="525"/>
      <c r="E12" s="267" t="s">
        <v>453</v>
      </c>
      <c r="F12" s="119"/>
    </row>
    <row r="13" spans="1:6" x14ac:dyDescent="0.2">
      <c r="A13" s="520" t="s">
        <v>484</v>
      </c>
      <c r="B13" s="520"/>
      <c r="C13" s="520"/>
      <c r="D13" s="520"/>
      <c r="E13" s="520"/>
      <c r="F13" s="520"/>
    </row>
    <row r="14" spans="1:6" x14ac:dyDescent="0.2">
      <c r="A14" s="520" t="s">
        <v>472</v>
      </c>
      <c r="B14" s="520"/>
      <c r="C14" s="520"/>
      <c r="D14" s="520"/>
      <c r="E14" s="520"/>
      <c r="F14" s="520"/>
    </row>
    <row r="15" spans="1:6" ht="10.9" customHeight="1" thickBot="1" x14ac:dyDescent="0.25">
      <c r="A15" s="522"/>
      <c r="B15" s="523"/>
      <c r="C15" s="523"/>
      <c r="D15" s="523"/>
      <c r="E15" s="523"/>
      <c r="F15" s="523"/>
    </row>
    <row r="16" spans="1:6" ht="15.75" customHeight="1" thickBot="1" x14ac:dyDescent="0.25">
      <c r="A16" s="428" t="s">
        <v>188</v>
      </c>
      <c r="B16" s="429"/>
      <c r="C16" s="429"/>
      <c r="D16" s="429"/>
      <c r="E16" s="429"/>
      <c r="F16" s="430"/>
    </row>
    <row r="17" spans="1:8" ht="15.75" customHeight="1" x14ac:dyDescent="0.2">
      <c r="A17" s="150" t="s">
        <v>187</v>
      </c>
      <c r="B17" s="151"/>
      <c r="C17" s="151"/>
      <c r="D17" s="152"/>
      <c r="E17" s="153" t="s">
        <v>35</v>
      </c>
      <c r="F17" s="154" t="s">
        <v>2</v>
      </c>
    </row>
    <row r="18" spans="1:8" s="118" customFormat="1" ht="15.75" customHeight="1" x14ac:dyDescent="0.2">
      <c r="A18" s="155" t="str">
        <f>A51</f>
        <v>1. Mão-de-obra</v>
      </c>
      <c r="B18" s="156"/>
      <c r="C18" s="157"/>
      <c r="D18" s="157"/>
      <c r="E18" s="158">
        <f>SUM(E19:E22)</f>
        <v>357.95244280102565</v>
      </c>
      <c r="F18" s="159">
        <f t="shared" ref="F18:F35" si="0">IFERROR(E18/$E$36,0)</f>
        <v>6.1962245551612116E-2</v>
      </c>
      <c r="G18" s="144"/>
    </row>
    <row r="19" spans="1:8" ht="15.75" customHeight="1" x14ac:dyDescent="0.2">
      <c r="A19" s="160" t="str">
        <f>A54</f>
        <v>1.3. Motorista Turno do Dia</v>
      </c>
      <c r="B19" s="161"/>
      <c r="C19" s="162"/>
      <c r="D19" s="162"/>
      <c r="E19" s="163">
        <f>F64</f>
        <v>447.26945880102562</v>
      </c>
      <c r="F19" s="346">
        <f t="shared" si="0"/>
        <v>7.7423190122971275E-2</v>
      </c>
    </row>
    <row r="20" spans="1:8" ht="15.75" customHeight="1" x14ac:dyDescent="0.2">
      <c r="A20" s="160" t="str">
        <f>A67</f>
        <v>1.5. Vale Transporte</v>
      </c>
      <c r="B20" s="161"/>
      <c r="C20" s="162"/>
      <c r="D20" s="162"/>
      <c r="E20" s="163">
        <f>F72</f>
        <v>-124.81659999999999</v>
      </c>
      <c r="F20" s="346">
        <f t="shared" si="0"/>
        <v>-2.1605989772268117E-2</v>
      </c>
    </row>
    <row r="21" spans="1:8" ht="15.75" customHeight="1" x14ac:dyDescent="0.2">
      <c r="A21" s="160" t="str">
        <f>A74</f>
        <v>1.6. Vale-refeição (diário)</v>
      </c>
      <c r="B21" s="161"/>
      <c r="C21" s="162"/>
      <c r="D21" s="162"/>
      <c r="E21" s="163">
        <f>F77</f>
        <v>25.62</v>
      </c>
      <c r="F21" s="346">
        <f t="shared" si="0"/>
        <v>4.4348705057300807E-3</v>
      </c>
    </row>
    <row r="22" spans="1:8" ht="15.75" customHeight="1" x14ac:dyDescent="0.2">
      <c r="A22" s="160" t="str">
        <f>A79</f>
        <v>1.7. Auxílio Alimentação (mensal)</v>
      </c>
      <c r="B22" s="161"/>
      <c r="C22" s="162"/>
      <c r="D22" s="162"/>
      <c r="E22" s="163">
        <f>F82</f>
        <v>9.8795839999999995</v>
      </c>
      <c r="F22" s="346">
        <f t="shared" si="0"/>
        <v>1.7101746951788763E-3</v>
      </c>
    </row>
    <row r="23" spans="1:8" s="118" customFormat="1" ht="15.75" customHeight="1" x14ac:dyDescent="0.2">
      <c r="A23" s="474" t="str">
        <f>A86</f>
        <v>2. Uniformes e Equipamentos de Proteção Individual</v>
      </c>
      <c r="B23" s="475"/>
      <c r="C23" s="475"/>
      <c r="D23" s="157"/>
      <c r="E23" s="158">
        <f>+F101</f>
        <v>13.530715466666665</v>
      </c>
      <c r="F23" s="159">
        <f t="shared" si="0"/>
        <v>2.3421924646583065E-3</v>
      </c>
      <c r="G23" s="144"/>
    </row>
    <row r="24" spans="1:8" s="118" customFormat="1" ht="15.75" customHeight="1" x14ac:dyDescent="0.2">
      <c r="A24" s="165" t="str">
        <f>A103</f>
        <v>3. Veículos e Equipamentos</v>
      </c>
      <c r="B24" s="166"/>
      <c r="C24" s="157"/>
      <c r="D24" s="157"/>
      <c r="E24" s="158">
        <f>+F189</f>
        <v>3106.8322947926376</v>
      </c>
      <c r="F24" s="159">
        <f t="shared" si="0"/>
        <v>0.53779855231949925</v>
      </c>
      <c r="G24" s="144"/>
    </row>
    <row r="25" spans="1:8" ht="15.75" customHeight="1" x14ac:dyDescent="0.2">
      <c r="A25" s="167" t="str">
        <f>A105</f>
        <v xml:space="preserve">3.3. Conjunto com carreta tipo "roll on off"  e containers para destino final </v>
      </c>
      <c r="B25" s="168"/>
      <c r="C25" s="162"/>
      <c r="D25" s="162"/>
      <c r="E25" s="163">
        <f>SUM(E26:E31)</f>
        <v>3106.8322947926376</v>
      </c>
      <c r="F25" s="346">
        <f t="shared" si="0"/>
        <v>0.53779855231949925</v>
      </c>
    </row>
    <row r="26" spans="1:8" ht="15.75" customHeight="1" x14ac:dyDescent="0.2">
      <c r="A26" s="167" t="str">
        <f>A107</f>
        <v>3.3.1. Depreciação</v>
      </c>
      <c r="B26" s="168"/>
      <c r="C26" s="162"/>
      <c r="D26" s="162"/>
      <c r="E26" s="163">
        <f>F126</f>
        <v>179.67552067872001</v>
      </c>
      <c r="F26" s="346">
        <f t="shared" si="0"/>
        <v>3.1102172804830231E-2</v>
      </c>
    </row>
    <row r="27" spans="1:8" ht="15.75" customHeight="1" x14ac:dyDescent="0.2">
      <c r="A27" s="167" t="str">
        <f>A128</f>
        <v>3.3.2. Remuneração do Capital</v>
      </c>
      <c r="B27" s="168"/>
      <c r="C27" s="162"/>
      <c r="D27" s="162"/>
      <c r="E27" s="163">
        <f>F147</f>
        <v>219.42441521536682</v>
      </c>
      <c r="F27" s="346">
        <f t="shared" si="0"/>
        <v>3.7982781704750238E-2</v>
      </c>
    </row>
    <row r="28" spans="1:8" ht="15.75" customHeight="1" x14ac:dyDescent="0.2">
      <c r="A28" s="167" t="str">
        <f>A149</f>
        <v>3.3.3. Impostos e Seguros</v>
      </c>
      <c r="B28" s="168"/>
      <c r="C28" s="162"/>
      <c r="D28" s="162"/>
      <c r="E28" s="163">
        <f>F155</f>
        <v>62.504489333333332</v>
      </c>
      <c r="F28" s="346">
        <f t="shared" si="0"/>
        <v>1.0819645441847011E-2</v>
      </c>
    </row>
    <row r="29" spans="1:8" ht="15.75" customHeight="1" x14ac:dyDescent="0.2">
      <c r="A29" s="167" t="str">
        <f>A157</f>
        <v>3.3.4. Consumos</v>
      </c>
      <c r="B29" s="168"/>
      <c r="C29" s="162"/>
      <c r="D29" s="162"/>
      <c r="E29" s="163">
        <f>F173</f>
        <v>1987.1598695652176</v>
      </c>
      <c r="F29" s="346">
        <f t="shared" si="0"/>
        <v>0.34398113566374777</v>
      </c>
    </row>
    <row r="30" spans="1:8" ht="15.75" customHeight="1" x14ac:dyDescent="0.2">
      <c r="A30" s="167" t="str">
        <f>A175</f>
        <v>3.3.5. Manutenção</v>
      </c>
      <c r="B30" s="168"/>
      <c r="C30" s="162"/>
      <c r="D30" s="162"/>
      <c r="E30" s="163">
        <f>F178</f>
        <v>317.2</v>
      </c>
      <c r="F30" s="346">
        <f t="shared" si="0"/>
        <v>5.490792054713433E-2</v>
      </c>
      <c r="H30" s="269"/>
    </row>
    <row r="31" spans="1:8" ht="15.75" customHeight="1" x14ac:dyDescent="0.2">
      <c r="A31" s="167" t="str">
        <f>A179</f>
        <v>3.3.6. Pneus</v>
      </c>
      <c r="B31" s="168"/>
      <c r="C31" s="162"/>
      <c r="D31" s="162"/>
      <c r="E31" s="163">
        <f>F186</f>
        <v>340.86799999999999</v>
      </c>
      <c r="F31" s="346">
        <f t="shared" si="0"/>
        <v>5.9004896157189742E-2</v>
      </c>
    </row>
    <row r="32" spans="1:8" s="118" customFormat="1" ht="15.75" customHeight="1" x14ac:dyDescent="0.2">
      <c r="A32" s="165" t="str">
        <f>A191</f>
        <v>4. Ferramentas e Materiais de Consumo</v>
      </c>
      <c r="B32" s="166"/>
      <c r="C32" s="157"/>
      <c r="D32" s="157"/>
      <c r="E32" s="158">
        <f>+F198</f>
        <v>11.34</v>
      </c>
      <c r="F32" s="159">
        <f t="shared" si="0"/>
        <v>1.9629754697493801E-3</v>
      </c>
      <c r="G32" s="144"/>
    </row>
    <row r="33" spans="1:7" s="118" customFormat="1" ht="15.75" customHeight="1" x14ac:dyDescent="0.2">
      <c r="A33" s="165" t="str">
        <f>A200</f>
        <v>5. Monitoramento da Frota</v>
      </c>
      <c r="B33" s="166"/>
      <c r="C33" s="157"/>
      <c r="D33" s="157"/>
      <c r="E33" s="158">
        <f>+F209</f>
        <v>8.043333333333333</v>
      </c>
      <c r="F33" s="159">
        <f t="shared" si="0"/>
        <v>1.3923162282496336E-3</v>
      </c>
      <c r="G33" s="144"/>
    </row>
    <row r="34" spans="1:7" s="118" customFormat="1" ht="15.75" customHeight="1" x14ac:dyDescent="0.2">
      <c r="A34" s="339" t="str">
        <f>A211</f>
        <v>6. Deposição no Aterro</v>
      </c>
      <c r="B34" s="166"/>
      <c r="C34" s="157"/>
      <c r="D34" s="157"/>
      <c r="E34" s="343">
        <f>F215</f>
        <v>1040</v>
      </c>
      <c r="F34" s="159">
        <f t="shared" si="0"/>
        <v>0.1800259690069978</v>
      </c>
      <c r="G34" s="144"/>
    </row>
    <row r="35" spans="1:7" s="118" customFormat="1" ht="15.75" customHeight="1" thickBot="1" x14ac:dyDescent="0.25">
      <c r="A35" s="165" t="str">
        <f>A219</f>
        <v>7. Benefícios e Despesas Indiretas - BDI</v>
      </c>
      <c r="B35" s="166"/>
      <c r="C35" s="157"/>
      <c r="D35" s="157"/>
      <c r="E35" s="169">
        <f>+F226</f>
        <v>1239.2455385641097</v>
      </c>
      <c r="F35" s="159">
        <f t="shared" si="0"/>
        <v>0.21451574895923337</v>
      </c>
      <c r="G35" s="144"/>
    </row>
    <row r="36" spans="1:7" ht="15.75" customHeight="1" thickBot="1" x14ac:dyDescent="0.25">
      <c r="A36" s="170" t="s">
        <v>327</v>
      </c>
      <c r="B36" s="171"/>
      <c r="C36" s="172"/>
      <c r="D36" s="172"/>
      <c r="E36" s="173">
        <f>E18+E23+E24+E32+E33+E35+E34</f>
        <v>5776.9443249577735</v>
      </c>
      <c r="F36" s="174">
        <f>F18+F24+F32+F33+F34+F35</f>
        <v>0.9976578075353415</v>
      </c>
    </row>
    <row r="38" spans="1:7" ht="16.5" thickBot="1" x14ac:dyDescent="0.25"/>
    <row r="39" spans="1:7" ht="15" customHeight="1" thickBot="1" x14ac:dyDescent="0.25">
      <c r="A39" s="506" t="s">
        <v>88</v>
      </c>
      <c r="B39" s="507"/>
      <c r="C39" s="507"/>
      <c r="D39" s="507"/>
      <c r="E39" s="508"/>
    </row>
    <row r="40" spans="1:7" ht="15" customHeight="1" x14ac:dyDescent="0.2">
      <c r="A40" s="509" t="s">
        <v>36</v>
      </c>
      <c r="B40" s="510"/>
      <c r="C40" s="510"/>
      <c r="D40" s="510"/>
      <c r="E40" s="333" t="s">
        <v>37</v>
      </c>
    </row>
    <row r="41" spans="1:7" ht="15" customHeight="1" x14ac:dyDescent="0.2">
      <c r="A41" s="323" t="str">
        <f>+A54</f>
        <v>1.3. Motorista Turno do Dia</v>
      </c>
      <c r="B41" s="195"/>
      <c r="C41" s="195"/>
      <c r="D41" s="43"/>
      <c r="E41" s="175">
        <f>C63</f>
        <v>1</v>
      </c>
    </row>
    <row r="42" spans="1:7" ht="15" customHeight="1" x14ac:dyDescent="0.2">
      <c r="A42" s="324" t="s">
        <v>313</v>
      </c>
      <c r="B42" s="322"/>
      <c r="C42" s="322"/>
      <c r="D42" s="43"/>
      <c r="E42" s="325">
        <f>SUM(E41:E41)</f>
        <v>1</v>
      </c>
    </row>
    <row r="43" spans="1:7" ht="15" customHeight="1" x14ac:dyDescent="0.2">
      <c r="A43" s="324"/>
      <c r="B43" s="322"/>
      <c r="C43" s="195"/>
      <c r="D43" s="195"/>
      <c r="E43" s="326"/>
    </row>
    <row r="44" spans="1:7" ht="15" customHeight="1" x14ac:dyDescent="0.2">
      <c r="A44" s="482" t="s">
        <v>53</v>
      </c>
      <c r="B44" s="483"/>
      <c r="C44" s="483"/>
      <c r="D44" s="483"/>
      <c r="E44" s="332" t="s">
        <v>37</v>
      </c>
      <c r="F44" s="109"/>
    </row>
    <row r="45" spans="1:7" ht="15" customHeight="1" x14ac:dyDescent="0.2">
      <c r="A45" s="405" t="str">
        <f>+A105</f>
        <v xml:space="preserve">3.3. Conjunto com carreta tipo "roll on off"  e containers para destino final </v>
      </c>
      <c r="B45" s="398"/>
      <c r="C45" s="398"/>
      <c r="D45" s="398"/>
      <c r="E45" s="402"/>
      <c r="F45" s="109"/>
    </row>
    <row r="46" spans="1:7" ht="15" customHeight="1" thickBot="1" x14ac:dyDescent="0.25">
      <c r="A46" s="327" t="str">
        <f>+A105</f>
        <v xml:space="preserve">3.3. Conjunto com carreta tipo "roll on off"  e containers para destino final </v>
      </c>
      <c r="B46" s="328"/>
      <c r="C46" s="328"/>
      <c r="D46" s="125"/>
      <c r="E46" s="177">
        <f>C125</f>
        <v>1</v>
      </c>
      <c r="F46" s="109"/>
    </row>
    <row r="47" spans="1:7" ht="15" customHeight="1" x14ac:dyDescent="0.2">
      <c r="A47" s="176"/>
      <c r="B47" s="176"/>
      <c r="C47" s="176"/>
      <c r="D47" s="178"/>
      <c r="E47" s="179"/>
      <c r="F47" s="109"/>
    </row>
    <row r="48" spans="1:7" ht="16.5" thickBot="1" x14ac:dyDescent="0.25">
      <c r="A48" s="176"/>
      <c r="B48" s="176"/>
      <c r="C48" s="176"/>
      <c r="D48" s="178"/>
      <c r="E48" s="180"/>
      <c r="F48" s="109"/>
    </row>
    <row r="49" spans="1:10" s="118" customFormat="1" ht="15.75" customHeight="1" thickBot="1" x14ac:dyDescent="0.25">
      <c r="A49" s="181" t="s">
        <v>282</v>
      </c>
      <c r="B49" s="380">
        <v>0.1016</v>
      </c>
      <c r="C49" s="143"/>
      <c r="D49" s="142"/>
      <c r="E49" s="182"/>
      <c r="G49" s="144"/>
    </row>
    <row r="50" spans="1:10" ht="15.75" customHeight="1" x14ac:dyDescent="0.2">
      <c r="A50" s="473"/>
      <c r="B50" s="473"/>
      <c r="C50" s="473"/>
      <c r="D50" s="473"/>
      <c r="E50" s="473"/>
      <c r="F50" s="473"/>
    </row>
    <row r="51" spans="1:10" ht="13.15" customHeight="1" x14ac:dyDescent="0.2">
      <c r="A51" s="481" t="s">
        <v>44</v>
      </c>
      <c r="B51" s="481"/>
      <c r="C51" s="481"/>
      <c r="D51" s="481"/>
      <c r="E51" s="481"/>
      <c r="F51" s="481"/>
    </row>
    <row r="52" spans="1:10" ht="11.25" customHeight="1" x14ac:dyDescent="0.2">
      <c r="A52" s="432"/>
      <c r="B52" s="432"/>
      <c r="C52" s="432"/>
      <c r="D52" s="432"/>
      <c r="E52" s="432"/>
      <c r="F52" s="432"/>
    </row>
    <row r="53" spans="1:10" s="145" customFormat="1" ht="11.25" customHeight="1" x14ac:dyDescent="0.2">
      <c r="A53" s="432"/>
      <c r="B53" s="432"/>
      <c r="C53" s="432"/>
      <c r="D53" s="432"/>
      <c r="E53" s="432"/>
      <c r="F53" s="432"/>
      <c r="H53" s="109"/>
      <c r="I53" s="109"/>
      <c r="J53" s="109"/>
    </row>
    <row r="54" spans="1:10" s="145" customFormat="1" ht="16.5" thickBot="1" x14ac:dyDescent="0.25">
      <c r="A54" s="471" t="s">
        <v>90</v>
      </c>
      <c r="B54" s="471"/>
      <c r="C54" s="471"/>
      <c r="D54" s="471"/>
      <c r="E54" s="471"/>
      <c r="F54" s="471"/>
      <c r="H54" s="109"/>
      <c r="I54" s="109"/>
      <c r="J54" s="109"/>
    </row>
    <row r="55" spans="1:10" ht="13.15" customHeight="1" thickBot="1" x14ac:dyDescent="0.25">
      <c r="A55" s="183" t="s">
        <v>59</v>
      </c>
      <c r="B55" s="184" t="s">
        <v>60</v>
      </c>
      <c r="C55" s="184" t="s">
        <v>37</v>
      </c>
      <c r="D55" s="185" t="s">
        <v>216</v>
      </c>
      <c r="E55" s="185" t="s">
        <v>61</v>
      </c>
      <c r="F55" s="186" t="s">
        <v>285</v>
      </c>
    </row>
    <row r="56" spans="1:10" x14ac:dyDescent="0.2">
      <c r="A56" s="271" t="s">
        <v>200</v>
      </c>
      <c r="B56" s="187" t="s">
        <v>6</v>
      </c>
      <c r="C56" s="187">
        <v>1</v>
      </c>
      <c r="D56" s="188">
        <v>2313.61</v>
      </c>
      <c r="E56" s="189">
        <f>C56*D56</f>
        <v>2313.61</v>
      </c>
      <c r="F56" s="272"/>
    </row>
    <row r="57" spans="1:10" x14ac:dyDescent="0.2">
      <c r="A57" s="271" t="s">
        <v>201</v>
      </c>
      <c r="B57" s="187" t="s">
        <v>6</v>
      </c>
      <c r="C57" s="187">
        <v>1</v>
      </c>
      <c r="D57" s="188">
        <v>1212</v>
      </c>
      <c r="E57" s="189"/>
      <c r="F57" s="272"/>
    </row>
    <row r="58" spans="1:10" x14ac:dyDescent="0.2">
      <c r="A58" s="41" t="s">
        <v>199</v>
      </c>
      <c r="B58" s="42"/>
      <c r="C58" s="197">
        <v>1</v>
      </c>
      <c r="D58" s="191"/>
      <c r="E58" s="191"/>
      <c r="F58" s="272"/>
    </row>
    <row r="59" spans="1:10" x14ac:dyDescent="0.2">
      <c r="A59" s="41" t="s">
        <v>1</v>
      </c>
      <c r="B59" s="42" t="s">
        <v>2</v>
      </c>
      <c r="C59" s="40">
        <v>20</v>
      </c>
      <c r="D59" s="192">
        <f>IF(C58=2,SUM(E56:E57),IF(C58=1,(SUM(E56:E57))*D57/D56,0))</f>
        <v>1212</v>
      </c>
      <c r="E59" s="191">
        <f>C59*D59/100</f>
        <v>242.4</v>
      </c>
      <c r="F59" s="272"/>
    </row>
    <row r="60" spans="1:10" s="118" customFormat="1" x14ac:dyDescent="0.2">
      <c r="A60" s="484" t="s">
        <v>287</v>
      </c>
      <c r="B60" s="485"/>
      <c r="C60" s="485"/>
      <c r="D60" s="486"/>
      <c r="E60" s="198">
        <f>SUM(E56:E59)</f>
        <v>2556.0100000000002</v>
      </c>
      <c r="F60" s="278"/>
      <c r="G60" s="144"/>
    </row>
    <row r="61" spans="1:10" x14ac:dyDescent="0.2">
      <c r="A61" s="41" t="s">
        <v>3</v>
      </c>
      <c r="B61" s="42" t="s">
        <v>2</v>
      </c>
      <c r="C61" s="194">
        <f>'2.Encargos Sociais'!$C$34*100</f>
        <v>72.231660000000005</v>
      </c>
      <c r="D61" s="191">
        <f>E60</f>
        <v>2556.0100000000002</v>
      </c>
      <c r="E61" s="191">
        <f>D61*C61/100</f>
        <v>1846.2484527660004</v>
      </c>
      <c r="F61" s="272"/>
    </row>
    <row r="62" spans="1:10" s="118" customFormat="1" x14ac:dyDescent="0.2">
      <c r="A62" s="484" t="s">
        <v>289</v>
      </c>
      <c r="B62" s="485"/>
      <c r="C62" s="485"/>
      <c r="D62" s="486"/>
      <c r="E62" s="198">
        <f>E60+E61</f>
        <v>4402.2584527660001</v>
      </c>
      <c r="F62" s="278"/>
      <c r="G62" s="144"/>
    </row>
    <row r="63" spans="1:10" x14ac:dyDescent="0.2">
      <c r="A63" s="273" t="s">
        <v>4</v>
      </c>
      <c r="B63" s="274" t="s">
        <v>5</v>
      </c>
      <c r="C63" s="275">
        <v>1</v>
      </c>
      <c r="D63" s="191">
        <f>E62</f>
        <v>4402.2584527660001</v>
      </c>
      <c r="E63" s="191">
        <f>C63*D63</f>
        <v>4402.2584527660001</v>
      </c>
      <c r="F63" s="272"/>
    </row>
    <row r="64" spans="1:10" ht="16.5" thickBot="1" x14ac:dyDescent="0.25">
      <c r="A64" s="526" t="str">
        <f>F55</f>
        <v>Total (R$)</v>
      </c>
      <c r="B64" s="527"/>
      <c r="C64" s="527"/>
      <c r="D64" s="276" t="s">
        <v>286</v>
      </c>
      <c r="E64" s="382">
        <f>$B$49</f>
        <v>0.1016</v>
      </c>
      <c r="F64" s="230">
        <f>E63*E64</f>
        <v>447.26945880102562</v>
      </c>
    </row>
    <row r="65" spans="1:7" ht="11.25" customHeight="1" x14ac:dyDescent="0.2">
      <c r="A65" s="432"/>
      <c r="B65" s="432"/>
      <c r="C65" s="432"/>
      <c r="D65" s="432"/>
      <c r="E65" s="432"/>
      <c r="F65" s="432"/>
    </row>
    <row r="66" spans="1:7" ht="11.25" customHeight="1" x14ac:dyDescent="0.2">
      <c r="A66" s="432"/>
      <c r="B66" s="432"/>
      <c r="C66" s="432"/>
      <c r="D66" s="432"/>
      <c r="E66" s="432"/>
      <c r="F66" s="432"/>
      <c r="G66" s="109"/>
    </row>
    <row r="67" spans="1:7" ht="16.5" thickBot="1" x14ac:dyDescent="0.25">
      <c r="A67" s="471" t="s">
        <v>91</v>
      </c>
      <c r="B67" s="471"/>
      <c r="C67" s="471"/>
      <c r="D67" s="471"/>
      <c r="E67" s="471"/>
      <c r="F67" s="471"/>
      <c r="G67" s="109"/>
    </row>
    <row r="68" spans="1:7" ht="16.5" thickBot="1" x14ac:dyDescent="0.25">
      <c r="A68" s="183" t="s">
        <v>59</v>
      </c>
      <c r="B68" s="184" t="s">
        <v>60</v>
      </c>
      <c r="C68" s="184" t="s">
        <v>37</v>
      </c>
      <c r="D68" s="185" t="s">
        <v>216</v>
      </c>
      <c r="E68" s="185" t="s">
        <v>61</v>
      </c>
      <c r="F68" s="186" t="s">
        <v>285</v>
      </c>
      <c r="G68" s="109"/>
    </row>
    <row r="69" spans="1:7" x14ac:dyDescent="0.2">
      <c r="A69" s="41" t="s">
        <v>84</v>
      </c>
      <c r="B69" s="42" t="s">
        <v>31</v>
      </c>
      <c r="C69" s="199">
        <v>1</v>
      </c>
      <c r="D69" s="282">
        <v>3.5</v>
      </c>
      <c r="E69" s="233"/>
      <c r="F69" s="279"/>
      <c r="G69" s="109"/>
    </row>
    <row r="70" spans="1:7" x14ac:dyDescent="0.2">
      <c r="A70" s="41" t="s">
        <v>85</v>
      </c>
      <c r="B70" s="42" t="s">
        <v>86</v>
      </c>
      <c r="C70" s="283">
        <v>2</v>
      </c>
      <c r="D70" s="191"/>
      <c r="E70" s="233"/>
      <c r="F70" s="280"/>
      <c r="G70" s="109"/>
    </row>
    <row r="71" spans="1:7" x14ac:dyDescent="0.2">
      <c r="A71" s="271" t="s">
        <v>41</v>
      </c>
      <c r="B71" s="187" t="s">
        <v>7</v>
      </c>
      <c r="C71" s="200">
        <f>$C$70*2*(C63)</f>
        <v>4</v>
      </c>
      <c r="D71" s="189">
        <f>IFERROR((($C$70*2*$D$69)-(E56*0.06))/($C$70*2),"-")</f>
        <v>-31.204149999999998</v>
      </c>
      <c r="E71" s="234">
        <f>IFERROR(C71*D71,"-")</f>
        <v>-124.81659999999999</v>
      </c>
      <c r="F71" s="280"/>
      <c r="G71" s="109"/>
    </row>
    <row r="72" spans="1:7" ht="16.5" thickBot="1" x14ac:dyDescent="0.25">
      <c r="A72" s="460" t="str">
        <f>F68</f>
        <v>Total (R$)</v>
      </c>
      <c r="B72" s="463"/>
      <c r="C72" s="463"/>
      <c r="D72" s="463"/>
      <c r="E72" s="497"/>
      <c r="F72" s="284">
        <f>SUM(E71:E71)</f>
        <v>-124.81659999999999</v>
      </c>
      <c r="G72" s="109"/>
    </row>
    <row r="73" spans="1:7" ht="11.25" customHeight="1" x14ac:dyDescent="0.2">
      <c r="A73" s="432"/>
      <c r="B73" s="432"/>
      <c r="C73" s="432"/>
      <c r="D73" s="432"/>
      <c r="E73" s="432"/>
      <c r="F73" s="432"/>
      <c r="G73" s="109"/>
    </row>
    <row r="74" spans="1:7" ht="16.5" thickBot="1" x14ac:dyDescent="0.25">
      <c r="A74" s="471" t="s">
        <v>111</v>
      </c>
      <c r="B74" s="471"/>
      <c r="C74" s="471"/>
      <c r="D74" s="471"/>
      <c r="E74" s="471"/>
      <c r="F74" s="471"/>
      <c r="G74" s="109"/>
    </row>
    <row r="75" spans="1:7" ht="16.5" thickBot="1" x14ac:dyDescent="0.25">
      <c r="A75" s="183" t="s">
        <v>59</v>
      </c>
      <c r="B75" s="184" t="s">
        <v>60</v>
      </c>
      <c r="C75" s="184" t="s">
        <v>37</v>
      </c>
      <c r="D75" s="185" t="s">
        <v>216</v>
      </c>
      <c r="E75" s="185" t="s">
        <v>61</v>
      </c>
      <c r="F75" s="186" t="s">
        <v>285</v>
      </c>
      <c r="G75" s="109"/>
    </row>
    <row r="76" spans="1:7" x14ac:dyDescent="0.2">
      <c r="A76" s="41" t="str">
        <f>+A71</f>
        <v>Motorista</v>
      </c>
      <c r="B76" s="42" t="s">
        <v>8</v>
      </c>
      <c r="C76" s="201">
        <v>2</v>
      </c>
      <c r="D76" s="202">
        <v>12.81</v>
      </c>
      <c r="E76" s="235">
        <f>C76*D76</f>
        <v>25.62</v>
      </c>
      <c r="F76" s="281"/>
      <c r="G76" s="109"/>
    </row>
    <row r="77" spans="1:7" ht="16.5" thickBot="1" x14ac:dyDescent="0.25">
      <c r="A77" s="460" t="str">
        <f>F75</f>
        <v>Total (R$)</v>
      </c>
      <c r="B77" s="463"/>
      <c r="C77" s="463"/>
      <c r="D77" s="463"/>
      <c r="E77" s="497"/>
      <c r="F77" s="284">
        <f>SUM(E76:E76)</f>
        <v>25.62</v>
      </c>
      <c r="G77" s="109"/>
    </row>
    <row r="78" spans="1:7" x14ac:dyDescent="0.2">
      <c r="A78" s="432"/>
      <c r="B78" s="432"/>
      <c r="C78" s="432"/>
      <c r="D78" s="432"/>
      <c r="E78" s="432"/>
      <c r="F78" s="432"/>
      <c r="G78" s="109"/>
    </row>
    <row r="79" spans="1:7" ht="16.5" thickBot="1" x14ac:dyDescent="0.25">
      <c r="A79" s="471" t="s">
        <v>112</v>
      </c>
      <c r="B79" s="471"/>
      <c r="C79" s="471"/>
      <c r="D79" s="471"/>
      <c r="E79" s="471"/>
      <c r="F79" s="471"/>
      <c r="G79" s="109"/>
    </row>
    <row r="80" spans="1:7" ht="16.5" thickBot="1" x14ac:dyDescent="0.25">
      <c r="A80" s="183" t="s">
        <v>59</v>
      </c>
      <c r="B80" s="184" t="s">
        <v>60</v>
      </c>
      <c r="C80" s="184" t="s">
        <v>37</v>
      </c>
      <c r="D80" s="185" t="s">
        <v>216</v>
      </c>
      <c r="E80" s="185" t="s">
        <v>61</v>
      </c>
      <c r="F80" s="186" t="s">
        <v>285</v>
      </c>
      <c r="G80" s="109"/>
    </row>
    <row r="81" spans="1:7" x14ac:dyDescent="0.2">
      <c r="A81" s="41" t="str">
        <f>+A76</f>
        <v>Motorista</v>
      </c>
      <c r="B81" s="42" t="s">
        <v>8</v>
      </c>
      <c r="C81" s="201">
        <f>E41</f>
        <v>1</v>
      </c>
      <c r="D81" s="202">
        <v>97.24</v>
      </c>
      <c r="E81" s="235">
        <f>C81*D81</f>
        <v>97.24</v>
      </c>
      <c r="F81" s="281"/>
      <c r="G81" s="109"/>
    </row>
    <row r="82" spans="1:7" ht="16.5" thickBot="1" x14ac:dyDescent="0.25">
      <c r="A82" s="460" t="str">
        <f>F80</f>
        <v>Total (R$)</v>
      </c>
      <c r="B82" s="463"/>
      <c r="C82" s="497"/>
      <c r="D82" s="277" t="s">
        <v>286</v>
      </c>
      <c r="E82" s="383">
        <f>$B$49</f>
        <v>0.1016</v>
      </c>
      <c r="F82" s="284">
        <f>SUM(E81:E81)*E82</f>
        <v>9.8795839999999995</v>
      </c>
      <c r="G82" s="109"/>
    </row>
    <row r="83" spans="1:7" ht="16.5" thickBot="1" x14ac:dyDescent="0.25">
      <c r="G83" s="109"/>
    </row>
    <row r="84" spans="1:7" ht="16.5" thickBot="1" x14ac:dyDescent="0.25">
      <c r="A84" s="236" t="s">
        <v>290</v>
      </c>
      <c r="B84" s="237"/>
      <c r="C84" s="237"/>
      <c r="D84" s="172"/>
      <c r="E84" s="172"/>
      <c r="F84" s="238">
        <f>F82+F77+F72+F64</f>
        <v>357.95244280102565</v>
      </c>
      <c r="G84" s="109"/>
    </row>
    <row r="85" spans="1:7" x14ac:dyDescent="0.2">
      <c r="A85" s="494"/>
      <c r="B85" s="494"/>
      <c r="C85" s="494"/>
      <c r="D85" s="494"/>
      <c r="E85" s="494"/>
      <c r="F85" s="494"/>
    </row>
    <row r="86" spans="1:7" x14ac:dyDescent="0.2">
      <c r="A86" s="481" t="s">
        <v>42</v>
      </c>
      <c r="B86" s="481"/>
      <c r="C86" s="481"/>
      <c r="D86" s="481"/>
      <c r="E86" s="481"/>
      <c r="F86" s="481"/>
      <c r="G86" s="109"/>
    </row>
    <row r="87" spans="1:7" ht="11.25" customHeight="1" x14ac:dyDescent="0.2">
      <c r="A87" s="432"/>
      <c r="B87" s="432"/>
      <c r="C87" s="432"/>
      <c r="D87" s="432"/>
      <c r="E87" s="432"/>
      <c r="F87" s="432"/>
      <c r="G87" s="109"/>
    </row>
    <row r="88" spans="1:7" ht="13.9" customHeight="1" x14ac:dyDescent="0.2">
      <c r="A88" s="491" t="s">
        <v>294</v>
      </c>
      <c r="B88" s="491"/>
      <c r="C88" s="491"/>
      <c r="D88" s="491"/>
      <c r="E88" s="491"/>
      <c r="F88" s="491"/>
    </row>
    <row r="89" spans="1:7" ht="11.25" customHeight="1" thickBot="1" x14ac:dyDescent="0.25">
      <c r="A89" s="433"/>
      <c r="B89" s="433"/>
      <c r="C89" s="433"/>
      <c r="D89" s="433"/>
      <c r="E89" s="433"/>
      <c r="F89" s="433"/>
    </row>
    <row r="90" spans="1:7" ht="32.25" thickBot="1" x14ac:dyDescent="0.25">
      <c r="A90" s="183" t="s">
        <v>59</v>
      </c>
      <c r="B90" s="184" t="s">
        <v>60</v>
      </c>
      <c r="C90" s="204" t="s">
        <v>227</v>
      </c>
      <c r="D90" s="185" t="s">
        <v>216</v>
      </c>
      <c r="E90" s="185" t="s">
        <v>61</v>
      </c>
      <c r="F90" s="186" t="s">
        <v>285</v>
      </c>
    </row>
    <row r="91" spans="1:7" x14ac:dyDescent="0.2">
      <c r="A91" s="271" t="s">
        <v>62</v>
      </c>
      <c r="B91" s="187" t="s">
        <v>8</v>
      </c>
      <c r="C91" s="205">
        <v>12</v>
      </c>
      <c r="D91" s="189">
        <f>'1.1.Coleta Resíduos Orgânicos'!D124</f>
        <v>210</v>
      </c>
      <c r="E91" s="189">
        <f>IFERROR(D91/C91,0)</f>
        <v>17.5</v>
      </c>
      <c r="F91" s="279"/>
    </row>
    <row r="92" spans="1:7" x14ac:dyDescent="0.2">
      <c r="A92" s="41" t="s">
        <v>27</v>
      </c>
      <c r="B92" s="42" t="s">
        <v>8</v>
      </c>
      <c r="C92" s="205">
        <v>3</v>
      </c>
      <c r="D92" s="189">
        <f>'1.1.Coleta Resíduos Orgânicos'!D125</f>
        <v>48</v>
      </c>
      <c r="E92" s="189">
        <f t="shared" ref="E92:E96" si="1">IFERROR(D92/C92,0)</f>
        <v>16</v>
      </c>
      <c r="F92" s="280"/>
    </row>
    <row r="93" spans="1:7" x14ac:dyDescent="0.2">
      <c r="A93" s="41" t="s">
        <v>28</v>
      </c>
      <c r="B93" s="42" t="s">
        <v>8</v>
      </c>
      <c r="C93" s="205">
        <v>3</v>
      </c>
      <c r="D93" s="189">
        <f>'1.1.Coleta Resíduos Orgânicos'!D126</f>
        <v>32.5</v>
      </c>
      <c r="E93" s="189">
        <f t="shared" si="1"/>
        <v>10.833333333333334</v>
      </c>
      <c r="F93" s="280"/>
    </row>
    <row r="94" spans="1:7" x14ac:dyDescent="0.2">
      <c r="A94" s="41" t="s">
        <v>64</v>
      </c>
      <c r="B94" s="42" t="s">
        <v>45</v>
      </c>
      <c r="C94" s="205">
        <v>3</v>
      </c>
      <c r="D94" s="189">
        <v>49</v>
      </c>
      <c r="E94" s="189">
        <f t="shared" si="1"/>
        <v>16.333333333333332</v>
      </c>
      <c r="F94" s="280"/>
    </row>
    <row r="95" spans="1:7" x14ac:dyDescent="0.2">
      <c r="A95" s="41" t="s">
        <v>63</v>
      </c>
      <c r="B95" s="42" t="s">
        <v>8</v>
      </c>
      <c r="C95" s="205">
        <v>6</v>
      </c>
      <c r="D95" s="189">
        <f>'1.1.Coleta Resíduos Orgânicos'!D128</f>
        <v>32.5</v>
      </c>
      <c r="E95" s="189">
        <f t="shared" si="1"/>
        <v>5.416666666666667</v>
      </c>
      <c r="F95" s="280"/>
      <c r="G95" s="109"/>
    </row>
    <row r="96" spans="1:7" x14ac:dyDescent="0.2">
      <c r="A96" s="41" t="s">
        <v>58</v>
      </c>
      <c r="B96" s="42" t="s">
        <v>46</v>
      </c>
      <c r="C96" s="205">
        <v>2</v>
      </c>
      <c r="D96" s="189">
        <v>14.186</v>
      </c>
      <c r="E96" s="189">
        <f t="shared" si="1"/>
        <v>7.093</v>
      </c>
      <c r="F96" s="280"/>
      <c r="G96" s="109"/>
    </row>
    <row r="97" spans="1:10" x14ac:dyDescent="0.2">
      <c r="A97" s="41" t="s">
        <v>185</v>
      </c>
      <c r="B97" s="42" t="s">
        <v>113</v>
      </c>
      <c r="C97" s="207">
        <v>1</v>
      </c>
      <c r="D97" s="188">
        <v>60</v>
      </c>
      <c r="E97" s="191">
        <f t="shared" ref="E97:E98" si="2">C97*D97</f>
        <v>60</v>
      </c>
      <c r="F97" s="280"/>
      <c r="G97" s="109"/>
    </row>
    <row r="98" spans="1:10" x14ac:dyDescent="0.2">
      <c r="A98" s="273" t="s">
        <v>4</v>
      </c>
      <c r="B98" s="274" t="s">
        <v>5</v>
      </c>
      <c r="C98" s="334">
        <f>E41</f>
        <v>1</v>
      </c>
      <c r="D98" s="335">
        <f>+SUM(E91:E97)</f>
        <v>133.17633333333333</v>
      </c>
      <c r="E98" s="335">
        <f t="shared" si="2"/>
        <v>133.17633333333333</v>
      </c>
      <c r="F98" s="280"/>
      <c r="G98" s="109"/>
    </row>
    <row r="99" spans="1:10" ht="16.5" thickBot="1" x14ac:dyDescent="0.25">
      <c r="A99" s="526" t="str">
        <f>F90</f>
        <v>Total (R$)</v>
      </c>
      <c r="B99" s="527"/>
      <c r="C99" s="527"/>
      <c r="D99" s="277" t="s">
        <v>286</v>
      </c>
      <c r="E99" s="382">
        <f>$B$49</f>
        <v>0.1016</v>
      </c>
      <c r="F99" s="230">
        <f>E98*E99</f>
        <v>13.530715466666665</v>
      </c>
      <c r="G99" s="109"/>
    </row>
    <row r="100" spans="1:10" ht="11.25" customHeight="1" thickBot="1" x14ac:dyDescent="0.25">
      <c r="G100" s="109"/>
    </row>
    <row r="101" spans="1:10" ht="16.5" thickBot="1" x14ac:dyDescent="0.25">
      <c r="A101" s="492" t="s">
        <v>186</v>
      </c>
      <c r="B101" s="493"/>
      <c r="C101" s="493"/>
      <c r="D101" s="493"/>
      <c r="E101" s="493"/>
      <c r="F101" s="196">
        <f>F99</f>
        <v>13.530715466666665</v>
      </c>
      <c r="G101" s="109"/>
    </row>
    <row r="102" spans="1:10" ht="11.25" customHeight="1" x14ac:dyDescent="0.2">
      <c r="G102" s="109"/>
    </row>
    <row r="103" spans="1:10" x14ac:dyDescent="0.2">
      <c r="A103" s="118" t="s">
        <v>51</v>
      </c>
      <c r="G103" s="109"/>
    </row>
    <row r="104" spans="1:10" ht="11.25" customHeight="1" x14ac:dyDescent="0.2">
      <c r="B104" s="209"/>
      <c r="G104" s="109"/>
    </row>
    <row r="105" spans="1:10" x14ac:dyDescent="0.2">
      <c r="A105" s="231" t="s">
        <v>368</v>
      </c>
      <c r="G105" s="109"/>
    </row>
    <row r="106" spans="1:10" ht="11.25" customHeight="1" x14ac:dyDescent="0.2">
      <c r="G106" s="109"/>
    </row>
    <row r="107" spans="1:10" ht="16.5" thickBot="1" x14ac:dyDescent="0.25">
      <c r="A107" s="240" t="s">
        <v>321</v>
      </c>
      <c r="G107" s="109"/>
    </row>
    <row r="108" spans="1:10" ht="16.5" thickBot="1" x14ac:dyDescent="0.25">
      <c r="A108" s="183" t="s">
        <v>59</v>
      </c>
      <c r="B108" s="184" t="s">
        <v>60</v>
      </c>
      <c r="C108" s="184" t="s">
        <v>37</v>
      </c>
      <c r="D108" s="185" t="s">
        <v>216</v>
      </c>
      <c r="E108" s="185" t="s">
        <v>61</v>
      </c>
      <c r="F108" s="186" t="s">
        <v>285</v>
      </c>
      <c r="G108" s="109"/>
    </row>
    <row r="109" spans="1:10" x14ac:dyDescent="0.2">
      <c r="A109" s="271" t="s">
        <v>377</v>
      </c>
      <c r="B109" s="187" t="s">
        <v>8</v>
      </c>
      <c r="C109" s="48">
        <v>1</v>
      </c>
      <c r="D109" s="188">
        <v>154866</v>
      </c>
      <c r="E109" s="234">
        <f>C109*D109</f>
        <v>154866</v>
      </c>
      <c r="F109" s="279"/>
      <c r="G109" s="109"/>
    </row>
    <row r="110" spans="1:10" x14ac:dyDescent="0.2">
      <c r="A110" s="41" t="s">
        <v>378</v>
      </c>
      <c r="B110" s="42" t="s">
        <v>93</v>
      </c>
      <c r="C110" s="40">
        <v>10</v>
      </c>
      <c r="D110" s="192"/>
      <c r="E110" s="233"/>
      <c r="F110" s="280"/>
      <c r="G110" s="109"/>
    </row>
    <row r="111" spans="1:10" x14ac:dyDescent="0.2">
      <c r="A111" s="41" t="s">
        <v>379</v>
      </c>
      <c r="B111" s="42" t="s">
        <v>93</v>
      </c>
      <c r="C111" s="40">
        <v>0</v>
      </c>
      <c r="D111" s="191"/>
      <c r="E111" s="233"/>
      <c r="F111" s="293"/>
      <c r="I111" s="210"/>
      <c r="J111" s="210"/>
    </row>
    <row r="112" spans="1:10" x14ac:dyDescent="0.2">
      <c r="A112" s="41" t="s">
        <v>380</v>
      </c>
      <c r="B112" s="42" t="s">
        <v>2</v>
      </c>
      <c r="C112" s="194">
        <f>IFERROR(VLOOKUP(C110,'5. Depreciação'!A3:B17,2,FALSE),0)</f>
        <v>65.180000000000007</v>
      </c>
      <c r="D112" s="191">
        <f>E109</f>
        <v>154866</v>
      </c>
      <c r="E112" s="233">
        <f>C112*D112/100</f>
        <v>100941.6588</v>
      </c>
      <c r="F112" s="280"/>
    </row>
    <row r="113" spans="1:10" ht="16.5" thickBot="1" x14ac:dyDescent="0.25">
      <c r="A113" s="294" t="s">
        <v>381</v>
      </c>
      <c r="B113" s="211" t="s">
        <v>6</v>
      </c>
      <c r="C113" s="211">
        <f>C110*12</f>
        <v>120</v>
      </c>
      <c r="D113" s="212">
        <f>IF(C111&lt;=C110,E112,0)</f>
        <v>100941.6588</v>
      </c>
      <c r="E113" s="241">
        <f>IFERROR(D113/C113,0)</f>
        <v>841.18049000000008</v>
      </c>
      <c r="F113" s="280"/>
    </row>
    <row r="114" spans="1:10" ht="16.5" thickTop="1" x14ac:dyDescent="0.2">
      <c r="A114" s="271" t="s">
        <v>372</v>
      </c>
      <c r="B114" s="187" t="s">
        <v>8</v>
      </c>
      <c r="C114" s="187">
        <v>1</v>
      </c>
      <c r="D114" s="188">
        <v>110000</v>
      </c>
      <c r="E114" s="234">
        <f>C114*D114</f>
        <v>110000</v>
      </c>
      <c r="F114" s="280"/>
      <c r="G114" s="109"/>
    </row>
    <row r="115" spans="1:10" x14ac:dyDescent="0.2">
      <c r="A115" s="41" t="s">
        <v>373</v>
      </c>
      <c r="B115" s="42" t="s">
        <v>93</v>
      </c>
      <c r="C115" s="40">
        <v>10</v>
      </c>
      <c r="D115" s="191"/>
      <c r="E115" s="233"/>
      <c r="F115" s="280"/>
    </row>
    <row r="116" spans="1:10" x14ac:dyDescent="0.2">
      <c r="A116" s="41" t="s">
        <v>374</v>
      </c>
      <c r="B116" s="42" t="s">
        <v>93</v>
      </c>
      <c r="C116" s="40">
        <v>0</v>
      </c>
      <c r="D116" s="191"/>
      <c r="E116" s="233"/>
      <c r="F116" s="293"/>
      <c r="I116" s="210"/>
      <c r="J116" s="210"/>
    </row>
    <row r="117" spans="1:10" x14ac:dyDescent="0.2">
      <c r="A117" s="41" t="s">
        <v>375</v>
      </c>
      <c r="B117" s="42" t="s">
        <v>2</v>
      </c>
      <c r="C117" s="213">
        <f>IFERROR(VLOOKUP(C115,'5. Depreciação'!A3:B17,2,FALSE),0)</f>
        <v>65.180000000000007</v>
      </c>
      <c r="D117" s="191">
        <f>E114</f>
        <v>110000</v>
      </c>
      <c r="E117" s="233">
        <f>C117*D117/100</f>
        <v>71698.000000000015</v>
      </c>
      <c r="F117" s="280"/>
    </row>
    <row r="118" spans="1:10" x14ac:dyDescent="0.2">
      <c r="A118" s="295" t="s">
        <v>376</v>
      </c>
      <c r="B118" s="134" t="s">
        <v>6</v>
      </c>
      <c r="C118" s="134">
        <f>C115*12</f>
        <v>120</v>
      </c>
      <c r="D118" s="198">
        <f>IF(C116&lt;=C115,E117,0)</f>
        <v>71698.000000000015</v>
      </c>
      <c r="E118" s="242">
        <f>IFERROR(D118/C118,0)</f>
        <v>597.48333333333346</v>
      </c>
      <c r="F118" s="280"/>
    </row>
    <row r="119" spans="1:10" x14ac:dyDescent="0.2">
      <c r="A119" s="271" t="s">
        <v>425</v>
      </c>
      <c r="B119" s="187" t="s">
        <v>8</v>
      </c>
      <c r="C119" s="48">
        <v>2</v>
      </c>
      <c r="D119" s="188">
        <v>18300</v>
      </c>
      <c r="E119" s="234">
        <f>C119*D119</f>
        <v>36600</v>
      </c>
      <c r="F119" s="280"/>
    </row>
    <row r="120" spans="1:10" x14ac:dyDescent="0.2">
      <c r="A120" s="41" t="s">
        <v>426</v>
      </c>
      <c r="B120" s="42" t="s">
        <v>93</v>
      </c>
      <c r="C120" s="40">
        <v>10</v>
      </c>
      <c r="D120" s="192"/>
      <c r="E120" s="233"/>
      <c r="F120" s="280"/>
    </row>
    <row r="121" spans="1:10" x14ac:dyDescent="0.2">
      <c r="A121" s="41" t="s">
        <v>427</v>
      </c>
      <c r="B121" s="42" t="s">
        <v>93</v>
      </c>
      <c r="C121" s="40">
        <v>0</v>
      </c>
      <c r="D121" s="191"/>
      <c r="E121" s="233"/>
      <c r="F121" s="280"/>
    </row>
    <row r="122" spans="1:10" x14ac:dyDescent="0.2">
      <c r="A122" s="41" t="s">
        <v>428</v>
      </c>
      <c r="B122" s="42" t="s">
        <v>2</v>
      </c>
      <c r="C122" s="194">
        <f>SUM(C117)</f>
        <v>65.180000000000007</v>
      </c>
      <c r="D122" s="191">
        <f>E119</f>
        <v>36600</v>
      </c>
      <c r="E122" s="233">
        <f>C122*D122/100</f>
        <v>23855.880000000005</v>
      </c>
      <c r="F122" s="280"/>
    </row>
    <row r="123" spans="1:10" ht="16.5" thickBot="1" x14ac:dyDescent="0.25">
      <c r="A123" s="294" t="s">
        <v>429</v>
      </c>
      <c r="B123" s="211" t="s">
        <v>6</v>
      </c>
      <c r="C123" s="211">
        <f>C120*12</f>
        <v>120</v>
      </c>
      <c r="D123" s="212">
        <f>IF(C121&lt;=C120,E122,0)</f>
        <v>23855.880000000005</v>
      </c>
      <c r="E123" s="241">
        <f>IFERROR(D123/C123,0)</f>
        <v>198.79900000000004</v>
      </c>
      <c r="F123" s="280"/>
    </row>
    <row r="124" spans="1:10" ht="16.5" thickTop="1" x14ac:dyDescent="0.2">
      <c r="A124" s="296" t="s">
        <v>430</v>
      </c>
      <c r="B124" s="297"/>
      <c r="C124" s="297"/>
      <c r="D124" s="298"/>
      <c r="E124" s="243">
        <f>E113+E118+E123</f>
        <v>1637.4628233333335</v>
      </c>
      <c r="F124" s="280"/>
    </row>
    <row r="125" spans="1:10" x14ac:dyDescent="0.2">
      <c r="A125" s="295" t="s">
        <v>231</v>
      </c>
      <c r="B125" s="134" t="s">
        <v>8</v>
      </c>
      <c r="C125" s="40">
        <v>1</v>
      </c>
      <c r="D125" s="198">
        <f>E124</f>
        <v>1637.4628233333335</v>
      </c>
      <c r="E125" s="243">
        <f>C125*D125</f>
        <v>1637.4628233333335</v>
      </c>
      <c r="F125" s="280"/>
    </row>
    <row r="126" spans="1:10" ht="16.5" thickBot="1" x14ac:dyDescent="0.25">
      <c r="A126" s="498" t="str">
        <f>F108</f>
        <v>Total (R$)</v>
      </c>
      <c r="B126" s="514"/>
      <c r="C126" s="515"/>
      <c r="D126" s="277" t="s">
        <v>286</v>
      </c>
      <c r="E126" s="383">
        <f>$B$49</f>
        <v>0.1016</v>
      </c>
      <c r="F126" s="230">
        <f>(E125*E126)*1.08</f>
        <v>179.67552067872001</v>
      </c>
    </row>
    <row r="127" spans="1:10" ht="11.25" customHeight="1" x14ac:dyDescent="0.2"/>
    <row r="128" spans="1:10" ht="16.5" thickBot="1" x14ac:dyDescent="0.25">
      <c r="A128" s="240" t="s">
        <v>322</v>
      </c>
    </row>
    <row r="129" spans="1:10" ht="16.5" thickBot="1" x14ac:dyDescent="0.25">
      <c r="A129" s="183" t="s">
        <v>59</v>
      </c>
      <c r="B129" s="184" t="s">
        <v>60</v>
      </c>
      <c r="C129" s="184" t="s">
        <v>37</v>
      </c>
      <c r="D129" s="185" t="s">
        <v>216</v>
      </c>
      <c r="E129" s="185" t="s">
        <v>61</v>
      </c>
      <c r="F129" s="186" t="s">
        <v>285</v>
      </c>
      <c r="I129" s="210"/>
      <c r="J129" s="210"/>
    </row>
    <row r="130" spans="1:10" x14ac:dyDescent="0.2">
      <c r="A130" s="271" t="s">
        <v>369</v>
      </c>
      <c r="B130" s="187" t="s">
        <v>8</v>
      </c>
      <c r="C130" s="48">
        <v>1</v>
      </c>
      <c r="D130" s="189">
        <f>D109</f>
        <v>154866</v>
      </c>
      <c r="E130" s="234">
        <f>C130*D130</f>
        <v>154866</v>
      </c>
      <c r="F130" s="299"/>
      <c r="I130" s="210"/>
      <c r="J130" s="210"/>
    </row>
    <row r="131" spans="1:10" x14ac:dyDescent="0.2">
      <c r="A131" s="41" t="s">
        <v>197</v>
      </c>
      <c r="B131" s="42" t="s">
        <v>2</v>
      </c>
      <c r="C131" s="40">
        <v>11.75</v>
      </c>
      <c r="D131" s="191"/>
      <c r="E131" s="233"/>
      <c r="F131" s="293"/>
      <c r="I131" s="210"/>
      <c r="J131" s="210"/>
    </row>
    <row r="132" spans="1:10" x14ac:dyDescent="0.2">
      <c r="A132" s="41" t="s">
        <v>306</v>
      </c>
      <c r="B132" s="42" t="s">
        <v>31</v>
      </c>
      <c r="C132" s="214">
        <f>IFERROR(IF(C111&lt;=C110,E109-(C112/(100*C110)*C111)*E109,E109-E112),0)</f>
        <v>154866</v>
      </c>
      <c r="D132" s="191"/>
      <c r="E132" s="233"/>
      <c r="F132" s="293"/>
      <c r="H132" s="210"/>
      <c r="I132" s="210"/>
      <c r="J132" s="210"/>
    </row>
    <row r="133" spans="1:10" x14ac:dyDescent="0.2">
      <c r="A133" s="41" t="s">
        <v>370</v>
      </c>
      <c r="B133" s="42" t="s">
        <v>31</v>
      </c>
      <c r="C133" s="192">
        <f>IFERROR(IF(C111&gt;=C110,C132,((((C132)-(E109-E112))*(((C110-C111)+1)/(2*(C110-C111))))+(E109-E112))),0)</f>
        <v>109442.25354000001</v>
      </c>
      <c r="D133" s="191"/>
      <c r="E133" s="233"/>
      <c r="F133" s="293"/>
      <c r="H133" s="210"/>
      <c r="I133" s="210"/>
      <c r="J133" s="210"/>
    </row>
    <row r="134" spans="1:10" ht="16.5" thickBot="1" x14ac:dyDescent="0.25">
      <c r="A134" s="294" t="s">
        <v>371</v>
      </c>
      <c r="B134" s="211" t="s">
        <v>31</v>
      </c>
      <c r="C134" s="211"/>
      <c r="D134" s="215">
        <f>C131*C133/12/100</f>
        <v>1071.6220659125001</v>
      </c>
      <c r="E134" s="241">
        <f>D134</f>
        <v>1071.6220659125001</v>
      </c>
      <c r="F134" s="293"/>
      <c r="I134" s="210"/>
      <c r="J134" s="210"/>
    </row>
    <row r="135" spans="1:10" ht="16.5" thickTop="1" x14ac:dyDescent="0.2">
      <c r="A135" s="271" t="s">
        <v>372</v>
      </c>
      <c r="B135" s="187" t="s">
        <v>8</v>
      </c>
      <c r="C135" s="187">
        <f>C114</f>
        <v>1</v>
      </c>
      <c r="D135" s="189">
        <f>D114</f>
        <v>110000</v>
      </c>
      <c r="E135" s="234">
        <f>C135*D135</f>
        <v>110000</v>
      </c>
      <c r="F135" s="293"/>
      <c r="I135" s="210"/>
      <c r="J135" s="210"/>
    </row>
    <row r="136" spans="1:10" x14ac:dyDescent="0.2">
      <c r="A136" s="41" t="s">
        <v>197</v>
      </c>
      <c r="B136" s="42" t="s">
        <v>2</v>
      </c>
      <c r="C136" s="40">
        <v>10.75</v>
      </c>
      <c r="D136" s="191"/>
      <c r="E136" s="233"/>
      <c r="F136" s="293"/>
      <c r="I136" s="210"/>
      <c r="J136" s="210"/>
    </row>
    <row r="137" spans="1:10" x14ac:dyDescent="0.2">
      <c r="A137" s="41" t="s">
        <v>357</v>
      </c>
      <c r="B137" s="42" t="s">
        <v>31</v>
      </c>
      <c r="C137" s="214">
        <f>IFERROR(IF(C116&lt;=C115,E114-(C117/(100*C115)*C116)*E114,E114-E117),0)</f>
        <v>110000</v>
      </c>
      <c r="D137" s="191"/>
      <c r="E137" s="233"/>
      <c r="F137" s="293"/>
      <c r="I137" s="210"/>
      <c r="J137" s="210"/>
    </row>
    <row r="138" spans="1:10" x14ac:dyDescent="0.2">
      <c r="A138" s="41" t="s">
        <v>382</v>
      </c>
      <c r="B138" s="42" t="s">
        <v>31</v>
      </c>
      <c r="C138" s="192">
        <f>IFERROR(IF(C116&gt;=C115,C137,((((C137)-(E114-E117))*(((C115-C116)+1)/(2*(C115-C116))))+(E114-E117))),0)</f>
        <v>77735.899999999994</v>
      </c>
      <c r="D138" s="191"/>
      <c r="E138" s="233"/>
      <c r="F138" s="293"/>
      <c r="I138" s="210"/>
      <c r="J138" s="210"/>
    </row>
    <row r="139" spans="1:10" x14ac:dyDescent="0.2">
      <c r="A139" s="295" t="s">
        <v>383</v>
      </c>
      <c r="B139" s="134" t="s">
        <v>31</v>
      </c>
      <c r="C139" s="134"/>
      <c r="D139" s="216">
        <f>C136*C138/12/100</f>
        <v>696.3841041666667</v>
      </c>
      <c r="E139" s="242">
        <f>D139</f>
        <v>696.3841041666667</v>
      </c>
      <c r="F139" s="293"/>
      <c r="I139" s="210"/>
      <c r="J139" s="210"/>
    </row>
    <row r="140" spans="1:10" x14ac:dyDescent="0.2">
      <c r="A140" s="271" t="s">
        <v>422</v>
      </c>
      <c r="B140" s="187" t="s">
        <v>8</v>
      </c>
      <c r="C140" s="48">
        <v>2</v>
      </c>
      <c r="D140" s="189">
        <f>D119</f>
        <v>18300</v>
      </c>
      <c r="E140" s="234">
        <f>C140*D140</f>
        <v>36600</v>
      </c>
      <c r="F140" s="293"/>
      <c r="I140" s="210"/>
      <c r="J140" s="210"/>
    </row>
    <row r="141" spans="1:10" x14ac:dyDescent="0.2">
      <c r="A141" s="41" t="s">
        <v>197</v>
      </c>
      <c r="B141" s="42" t="s">
        <v>2</v>
      </c>
      <c r="C141" s="40">
        <v>10.75</v>
      </c>
      <c r="D141" s="191"/>
      <c r="E141" s="233"/>
      <c r="F141" s="293"/>
      <c r="I141" s="210"/>
      <c r="J141" s="210"/>
    </row>
    <row r="142" spans="1:10" x14ac:dyDescent="0.2">
      <c r="A142" s="41" t="s">
        <v>306</v>
      </c>
      <c r="B142" s="42" t="s">
        <v>31</v>
      </c>
      <c r="C142" s="214">
        <f>IFERROR(IF(C121&lt;=C120,E119-(C122/(100*C120)*C121)*E119,E119-C122),0)</f>
        <v>36600</v>
      </c>
      <c r="D142" s="191"/>
      <c r="E142" s="233"/>
      <c r="F142" s="293"/>
      <c r="I142" s="210"/>
      <c r="J142" s="210"/>
    </row>
    <row r="143" spans="1:10" x14ac:dyDescent="0.2">
      <c r="A143" s="41" t="s">
        <v>423</v>
      </c>
      <c r="B143" s="42" t="s">
        <v>31</v>
      </c>
      <c r="C143" s="192">
        <f>IFERROR(IF(C121&gt;=C120,C142,((((C142)-(E119-E122))*(((C120-C121)+1)/(2*(C120-C121))))+(E119-E122))),0)</f>
        <v>25864.853999999999</v>
      </c>
      <c r="D143" s="191"/>
      <c r="E143" s="233"/>
      <c r="F143" s="293"/>
      <c r="I143" s="210"/>
      <c r="J143" s="210"/>
    </row>
    <row r="144" spans="1:10" ht="16.5" thickBot="1" x14ac:dyDescent="0.25">
      <c r="A144" s="294" t="s">
        <v>424</v>
      </c>
      <c r="B144" s="211" t="s">
        <v>31</v>
      </c>
      <c r="C144" s="211"/>
      <c r="D144" s="215">
        <f>C141*C143/12/100</f>
        <v>231.70598375</v>
      </c>
      <c r="E144" s="241">
        <f>D144</f>
        <v>231.70598375</v>
      </c>
      <c r="F144" s="293"/>
      <c r="I144" s="210"/>
      <c r="J144" s="210"/>
    </row>
    <row r="145" spans="1:10" ht="16.5" thickTop="1" x14ac:dyDescent="0.2">
      <c r="A145" s="296" t="s">
        <v>305</v>
      </c>
      <c r="B145" s="297"/>
      <c r="C145" s="297"/>
      <c r="D145" s="298"/>
      <c r="E145" s="243">
        <f>E134+E139+E144</f>
        <v>1999.7121538291669</v>
      </c>
      <c r="F145" s="293"/>
      <c r="I145" s="210"/>
      <c r="J145" s="210"/>
    </row>
    <row r="146" spans="1:10" x14ac:dyDescent="0.2">
      <c r="A146" s="295" t="str">
        <f>A125</f>
        <v>Total da frota</v>
      </c>
      <c r="B146" s="134" t="s">
        <v>8</v>
      </c>
      <c r="C146" s="264">
        <f>C125</f>
        <v>1</v>
      </c>
      <c r="D146" s="198">
        <f>E145</f>
        <v>1999.7121538291669</v>
      </c>
      <c r="E146" s="243">
        <f>C146*D146</f>
        <v>1999.7121538291669</v>
      </c>
      <c r="F146" s="293"/>
      <c r="I146" s="210"/>
      <c r="J146" s="210"/>
    </row>
    <row r="147" spans="1:10" ht="16.5" thickBot="1" x14ac:dyDescent="0.25">
      <c r="A147" s="460" t="str">
        <f>F129</f>
        <v>Total (R$)</v>
      </c>
      <c r="B147" s="463"/>
      <c r="C147" s="497"/>
      <c r="D147" s="277" t="s">
        <v>286</v>
      </c>
      <c r="E147" s="383">
        <f>$B$49</f>
        <v>0.1016</v>
      </c>
      <c r="F147" s="230">
        <f>(E146*E147)*1.08</f>
        <v>219.42441521536682</v>
      </c>
      <c r="I147" s="210"/>
      <c r="J147" s="210"/>
    </row>
    <row r="148" spans="1:10" ht="11.25" customHeight="1" x14ac:dyDescent="0.2">
      <c r="I148" s="210"/>
      <c r="J148" s="210"/>
    </row>
    <row r="149" spans="1:10" ht="16.5" thickBot="1" x14ac:dyDescent="0.25">
      <c r="A149" s="239" t="s">
        <v>323</v>
      </c>
      <c r="I149" s="210"/>
      <c r="J149" s="210"/>
    </row>
    <row r="150" spans="1:10" ht="16.5" thickBot="1" x14ac:dyDescent="0.25">
      <c r="A150" s="183" t="s">
        <v>59</v>
      </c>
      <c r="B150" s="184" t="s">
        <v>60</v>
      </c>
      <c r="C150" s="184" t="s">
        <v>37</v>
      </c>
      <c r="D150" s="185" t="s">
        <v>216</v>
      </c>
      <c r="E150" s="185" t="s">
        <v>61</v>
      </c>
      <c r="F150" s="186" t="s">
        <v>285</v>
      </c>
      <c r="I150" s="210"/>
      <c r="J150" s="210"/>
    </row>
    <row r="151" spans="1:10" x14ac:dyDescent="0.2">
      <c r="A151" s="271" t="s">
        <v>10</v>
      </c>
      <c r="B151" s="187" t="s">
        <v>8</v>
      </c>
      <c r="C151" s="189">
        <f>C109</f>
        <v>1</v>
      </c>
      <c r="D151" s="189">
        <f>0.01*D109</f>
        <v>1548.66</v>
      </c>
      <c r="E151" s="189">
        <f>C151*D151</f>
        <v>1548.66</v>
      </c>
      <c r="F151" s="279"/>
      <c r="I151" s="210"/>
      <c r="J151" s="210"/>
    </row>
    <row r="152" spans="1:10" x14ac:dyDescent="0.2">
      <c r="A152" s="41" t="s">
        <v>384</v>
      </c>
      <c r="B152" s="42" t="s">
        <v>8</v>
      </c>
      <c r="C152" s="189">
        <f>SUM(C130+C135)</f>
        <v>2</v>
      </c>
      <c r="D152" s="217">
        <v>85.22</v>
      </c>
      <c r="E152" s="191">
        <f>C152*D152</f>
        <v>170.44</v>
      </c>
      <c r="F152" s="280"/>
      <c r="I152" s="210"/>
      <c r="J152" s="210"/>
    </row>
    <row r="153" spans="1:10" x14ac:dyDescent="0.2">
      <c r="A153" s="41" t="s">
        <v>11</v>
      </c>
      <c r="B153" s="42" t="s">
        <v>8</v>
      </c>
      <c r="C153" s="189">
        <f>C109</f>
        <v>1</v>
      </c>
      <c r="D153" s="217">
        <f>(D109+D114+D119)*0.02</f>
        <v>5663.32</v>
      </c>
      <c r="E153" s="191">
        <f>C153*D153</f>
        <v>5663.32</v>
      </c>
      <c r="F153" s="300"/>
      <c r="I153" s="210"/>
      <c r="J153" s="210"/>
    </row>
    <row r="154" spans="1:10" x14ac:dyDescent="0.2">
      <c r="A154" s="295" t="s">
        <v>12</v>
      </c>
      <c r="B154" s="134" t="s">
        <v>6</v>
      </c>
      <c r="C154" s="134">
        <v>12</v>
      </c>
      <c r="D154" s="198">
        <f>SUM(E151:E153)</f>
        <v>7382.42</v>
      </c>
      <c r="E154" s="198">
        <f>D154/C154</f>
        <v>615.20166666666671</v>
      </c>
      <c r="F154" s="280"/>
      <c r="I154" s="210"/>
      <c r="J154" s="210"/>
    </row>
    <row r="155" spans="1:10" ht="16.5" thickBot="1" x14ac:dyDescent="0.25">
      <c r="A155" s="460" t="str">
        <f>F150</f>
        <v>Total (R$)</v>
      </c>
      <c r="B155" s="461"/>
      <c r="C155" s="462"/>
      <c r="D155" s="277" t="s">
        <v>286</v>
      </c>
      <c r="E155" s="382">
        <f>$B$49</f>
        <v>0.1016</v>
      </c>
      <c r="F155" s="230">
        <f>E154*E155</f>
        <v>62.504489333333332</v>
      </c>
      <c r="I155" s="210"/>
      <c r="J155" s="210"/>
    </row>
    <row r="156" spans="1:10" ht="11.25" customHeight="1" x14ac:dyDescent="0.2">
      <c r="I156" s="210"/>
      <c r="J156" s="210"/>
    </row>
    <row r="157" spans="1:10" x14ac:dyDescent="0.2">
      <c r="A157" s="239" t="s">
        <v>324</v>
      </c>
      <c r="B157" s="218"/>
      <c r="I157" s="210"/>
      <c r="J157" s="210"/>
    </row>
    <row r="158" spans="1:10" ht="16.5" thickBot="1" x14ac:dyDescent="0.25">
      <c r="B158" s="218"/>
      <c r="I158" s="210"/>
      <c r="J158" s="210"/>
    </row>
    <row r="159" spans="1:10" ht="16.5" thickBot="1" x14ac:dyDescent="0.25">
      <c r="A159" s="203" t="s">
        <v>108</v>
      </c>
      <c r="B159" s="422">
        <v>610</v>
      </c>
      <c r="I159" s="210"/>
      <c r="J159" s="210"/>
    </row>
    <row r="160" spans="1:10" ht="16.5" thickBot="1" x14ac:dyDescent="0.25">
      <c r="B160" s="218"/>
      <c r="I160" s="210"/>
      <c r="J160" s="210"/>
    </row>
    <row r="161" spans="1:10" ht="16.5" thickBot="1" x14ac:dyDescent="0.25">
      <c r="A161" s="183" t="s">
        <v>59</v>
      </c>
      <c r="B161" s="184" t="s">
        <v>60</v>
      </c>
      <c r="C161" s="184" t="s">
        <v>229</v>
      </c>
      <c r="D161" s="185" t="s">
        <v>216</v>
      </c>
      <c r="E161" s="185" t="s">
        <v>61</v>
      </c>
      <c r="F161" s="186" t="s">
        <v>285</v>
      </c>
      <c r="I161" s="210"/>
      <c r="J161" s="210"/>
    </row>
    <row r="162" spans="1:10" x14ac:dyDescent="0.2">
      <c r="A162" s="303" t="s">
        <v>13</v>
      </c>
      <c r="B162" s="245" t="s">
        <v>14</v>
      </c>
      <c r="C162" s="246">
        <v>2.2999999999999998</v>
      </c>
      <c r="D162" s="247">
        <v>6.49</v>
      </c>
      <c r="E162" s="258"/>
      <c r="F162" s="279"/>
      <c r="I162" s="210"/>
      <c r="J162" s="210"/>
    </row>
    <row r="163" spans="1:10" x14ac:dyDescent="0.2">
      <c r="A163" s="304" t="s">
        <v>15</v>
      </c>
      <c r="B163" s="250" t="s">
        <v>16</v>
      </c>
      <c r="C163" s="419">
        <f>SUM(B159)</f>
        <v>610</v>
      </c>
      <c r="D163" s="251">
        <f>IFERROR(+D162/C162,"-")</f>
        <v>2.821739130434783</v>
      </c>
      <c r="E163" s="259">
        <f>IFERROR(C163*D163,"-")</f>
        <v>1721.2608695652177</v>
      </c>
      <c r="F163" s="280"/>
      <c r="I163" s="210"/>
      <c r="J163" s="210"/>
    </row>
    <row r="164" spans="1:10" x14ac:dyDescent="0.2">
      <c r="A164" s="81" t="s">
        <v>217</v>
      </c>
      <c r="B164" s="255" t="s">
        <v>17</v>
      </c>
      <c r="C164" s="256">
        <v>6</v>
      </c>
      <c r="D164" s="257">
        <v>17.3</v>
      </c>
      <c r="E164" s="260"/>
      <c r="F164" s="280"/>
      <c r="G164" s="219"/>
      <c r="I164" s="210"/>
      <c r="J164" s="210"/>
    </row>
    <row r="165" spans="1:10" x14ac:dyDescent="0.2">
      <c r="A165" s="80" t="s">
        <v>18</v>
      </c>
      <c r="B165" s="248" t="s">
        <v>16</v>
      </c>
      <c r="C165" s="420">
        <f>C163</f>
        <v>610</v>
      </c>
      <c r="D165" s="249">
        <f>+C164*D164/1000</f>
        <v>0.10380000000000002</v>
      </c>
      <c r="E165" s="261">
        <f>C165*D165</f>
        <v>63.318000000000012</v>
      </c>
      <c r="F165" s="280"/>
      <c r="G165" s="219"/>
      <c r="I165" s="210"/>
      <c r="J165" s="210"/>
    </row>
    <row r="166" spans="1:10" x14ac:dyDescent="0.2">
      <c r="A166" s="305" t="s">
        <v>218</v>
      </c>
      <c r="B166" s="252" t="s">
        <v>17</v>
      </c>
      <c r="C166" s="253">
        <v>6.5</v>
      </c>
      <c r="D166" s="254">
        <v>18.8</v>
      </c>
      <c r="E166" s="262"/>
      <c r="F166" s="280"/>
      <c r="G166" s="219"/>
      <c r="I166" s="210"/>
      <c r="J166" s="210"/>
    </row>
    <row r="167" spans="1:10" x14ac:dyDescent="0.2">
      <c r="A167" s="80" t="s">
        <v>19</v>
      </c>
      <c r="B167" s="248" t="s">
        <v>16</v>
      </c>
      <c r="C167" s="420">
        <f>C163</f>
        <v>610</v>
      </c>
      <c r="D167" s="249">
        <f>+C166*D166/1000</f>
        <v>0.1222</v>
      </c>
      <c r="E167" s="261">
        <f>C167*D167</f>
        <v>74.542000000000002</v>
      </c>
      <c r="F167" s="280"/>
      <c r="G167" s="219"/>
      <c r="I167" s="210"/>
      <c r="J167" s="210"/>
    </row>
    <row r="168" spans="1:10" x14ac:dyDescent="0.2">
      <c r="A168" s="81" t="s">
        <v>219</v>
      </c>
      <c r="B168" s="255" t="s">
        <v>17</v>
      </c>
      <c r="C168" s="256">
        <v>10</v>
      </c>
      <c r="D168" s="257">
        <v>17.75</v>
      </c>
      <c r="E168" s="260"/>
      <c r="F168" s="280"/>
      <c r="G168" s="219"/>
      <c r="I168" s="210"/>
      <c r="J168" s="210"/>
    </row>
    <row r="169" spans="1:10" x14ac:dyDescent="0.2">
      <c r="A169" s="80" t="s">
        <v>20</v>
      </c>
      <c r="B169" s="248" t="s">
        <v>16</v>
      </c>
      <c r="C169" s="420">
        <f>C163</f>
        <v>610</v>
      </c>
      <c r="D169" s="249">
        <f>+C168*D168/1000</f>
        <v>0.17749999999999999</v>
      </c>
      <c r="E169" s="261">
        <f>C169*D169</f>
        <v>108.27499999999999</v>
      </c>
      <c r="F169" s="280"/>
      <c r="G169" s="219"/>
      <c r="H169" s="220"/>
      <c r="I169" s="210"/>
      <c r="J169" s="210"/>
    </row>
    <row r="170" spans="1:10" x14ac:dyDescent="0.2">
      <c r="A170" s="81" t="s">
        <v>21</v>
      </c>
      <c r="B170" s="255" t="s">
        <v>22</v>
      </c>
      <c r="C170" s="256">
        <v>2</v>
      </c>
      <c r="D170" s="257">
        <v>16.2</v>
      </c>
      <c r="E170" s="260"/>
      <c r="F170" s="280"/>
      <c r="G170" s="219"/>
      <c r="H170" s="220"/>
      <c r="I170" s="210"/>
      <c r="J170" s="210"/>
    </row>
    <row r="171" spans="1:10" x14ac:dyDescent="0.2">
      <c r="A171" s="80" t="s">
        <v>23</v>
      </c>
      <c r="B171" s="248" t="s">
        <v>16</v>
      </c>
      <c r="C171" s="420">
        <f>C163</f>
        <v>610</v>
      </c>
      <c r="D171" s="249">
        <f>+C170*D170/1000</f>
        <v>3.2399999999999998E-2</v>
      </c>
      <c r="E171" s="261">
        <f>C171*D171</f>
        <v>19.763999999999999</v>
      </c>
      <c r="F171" s="280"/>
      <c r="G171" s="219"/>
      <c r="H171" s="220"/>
      <c r="I171" s="210"/>
      <c r="J171" s="210"/>
    </row>
    <row r="172" spans="1:10" x14ac:dyDescent="0.2">
      <c r="A172" s="295" t="s">
        <v>228</v>
      </c>
      <c r="B172" s="134" t="s">
        <v>109</v>
      </c>
      <c r="C172" s="221"/>
      <c r="D172" s="222">
        <f>IFERROR(D163+D165+D167+D169+D171,0)</f>
        <v>3.2576391304347831</v>
      </c>
      <c r="E172" s="233"/>
      <c r="F172" s="280"/>
      <c r="G172" s="219"/>
      <c r="H172" s="220"/>
      <c r="I172" s="210"/>
      <c r="J172" s="210"/>
    </row>
    <row r="173" spans="1:10" ht="16.5" thickBot="1" x14ac:dyDescent="0.25">
      <c r="A173" s="460" t="str">
        <f>F161</f>
        <v>Total (R$)</v>
      </c>
      <c r="B173" s="463"/>
      <c r="C173" s="463"/>
      <c r="D173" s="463"/>
      <c r="E173" s="497"/>
      <c r="F173" s="230">
        <f>SUM(E162:E171)</f>
        <v>1987.1598695652176</v>
      </c>
      <c r="H173" s="220"/>
      <c r="I173" s="210"/>
      <c r="J173" s="210"/>
    </row>
    <row r="174" spans="1:10" ht="11.25" customHeight="1" x14ac:dyDescent="0.2">
      <c r="H174" s="220"/>
      <c r="I174" s="210"/>
      <c r="J174" s="210"/>
    </row>
    <row r="175" spans="1:10" ht="16.5" thickBot="1" x14ac:dyDescent="0.25">
      <c r="A175" s="239" t="s">
        <v>325</v>
      </c>
      <c r="H175" s="220"/>
      <c r="I175" s="210"/>
      <c r="J175" s="210"/>
    </row>
    <row r="176" spans="1:10" ht="16.5" thickBot="1" x14ac:dyDescent="0.25">
      <c r="A176" s="183" t="s">
        <v>59</v>
      </c>
      <c r="B176" s="184" t="s">
        <v>60</v>
      </c>
      <c r="C176" s="184" t="s">
        <v>37</v>
      </c>
      <c r="D176" s="185" t="s">
        <v>216</v>
      </c>
      <c r="E176" s="185" t="s">
        <v>61</v>
      </c>
      <c r="F176" s="186" t="s">
        <v>285</v>
      </c>
      <c r="H176" s="220"/>
      <c r="I176" s="210"/>
      <c r="J176" s="210"/>
    </row>
    <row r="177" spans="1:10" x14ac:dyDescent="0.2">
      <c r="A177" s="271" t="s">
        <v>312</v>
      </c>
      <c r="B177" s="187" t="s">
        <v>109</v>
      </c>
      <c r="C177" s="421">
        <f>C163</f>
        <v>610</v>
      </c>
      <c r="D177" s="188">
        <v>0.52</v>
      </c>
      <c r="E177" s="234">
        <f>C177*D177</f>
        <v>317.2</v>
      </c>
      <c r="F177" s="279"/>
      <c r="H177" s="220"/>
      <c r="I177" s="210"/>
      <c r="J177" s="210"/>
    </row>
    <row r="178" spans="1:10" ht="16.5" thickBot="1" x14ac:dyDescent="0.25">
      <c r="A178" s="460" t="str">
        <f>F176</f>
        <v>Total (R$)</v>
      </c>
      <c r="B178" s="463"/>
      <c r="C178" s="463"/>
      <c r="D178" s="463"/>
      <c r="E178" s="497"/>
      <c r="F178" s="230">
        <f>E177</f>
        <v>317.2</v>
      </c>
      <c r="I178" s="210"/>
      <c r="J178" s="210"/>
    </row>
    <row r="179" spans="1:10" ht="16.5" thickBot="1" x14ac:dyDescent="0.25">
      <c r="A179" s="239" t="s">
        <v>326</v>
      </c>
      <c r="I179" s="210"/>
      <c r="J179" s="210"/>
    </row>
    <row r="180" spans="1:10" ht="16.5" thickBot="1" x14ac:dyDescent="0.25">
      <c r="A180" s="183" t="s">
        <v>59</v>
      </c>
      <c r="B180" s="184" t="s">
        <v>60</v>
      </c>
      <c r="C180" s="184" t="s">
        <v>37</v>
      </c>
      <c r="D180" s="185" t="s">
        <v>216</v>
      </c>
      <c r="E180" s="185" t="s">
        <v>61</v>
      </c>
      <c r="F180" s="186" t="s">
        <v>285</v>
      </c>
      <c r="I180" s="210"/>
      <c r="J180" s="210"/>
    </row>
    <row r="181" spans="1:10" x14ac:dyDescent="0.2">
      <c r="A181" s="271" t="s">
        <v>449</v>
      </c>
      <c r="B181" s="187" t="s">
        <v>8</v>
      </c>
      <c r="C181" s="223">
        <v>22</v>
      </c>
      <c r="D181" s="188">
        <v>1880</v>
      </c>
      <c r="E181" s="234">
        <f>C181*D181</f>
        <v>41360</v>
      </c>
      <c r="F181" s="279"/>
      <c r="H181" s="344"/>
      <c r="I181" s="210"/>
      <c r="J181" s="210"/>
    </row>
    <row r="182" spans="1:10" x14ac:dyDescent="0.2">
      <c r="A182" s="271" t="s">
        <v>110</v>
      </c>
      <c r="B182" s="187" t="s">
        <v>8</v>
      </c>
      <c r="C182" s="223">
        <v>1</v>
      </c>
      <c r="D182" s="224"/>
      <c r="E182" s="234"/>
      <c r="F182" s="280"/>
      <c r="I182" s="210"/>
      <c r="J182" s="210"/>
    </row>
    <row r="183" spans="1:10" x14ac:dyDescent="0.2">
      <c r="A183" s="271" t="s">
        <v>65</v>
      </c>
      <c r="B183" s="187" t="s">
        <v>8</v>
      </c>
      <c r="C183" s="189">
        <f>C181*C182</f>
        <v>22</v>
      </c>
      <c r="D183" s="188">
        <v>660</v>
      </c>
      <c r="E183" s="234">
        <f>C183*D183</f>
        <v>14520</v>
      </c>
      <c r="F183" s="280"/>
      <c r="I183" s="210"/>
      <c r="J183" s="210"/>
    </row>
    <row r="184" spans="1:10" x14ac:dyDescent="0.2">
      <c r="A184" s="41" t="s">
        <v>293</v>
      </c>
      <c r="B184" s="42" t="s">
        <v>24</v>
      </c>
      <c r="C184" s="225">
        <v>100000</v>
      </c>
      <c r="D184" s="191">
        <f>E181+E183</f>
        <v>55880</v>
      </c>
      <c r="E184" s="233">
        <f>IFERROR(D184/C184,"-")</f>
        <v>0.55879999999999996</v>
      </c>
      <c r="F184" s="280"/>
      <c r="I184" s="210"/>
      <c r="J184" s="210"/>
    </row>
    <row r="185" spans="1:10" x14ac:dyDescent="0.2">
      <c r="A185" s="41" t="s">
        <v>52</v>
      </c>
      <c r="B185" s="42" t="s">
        <v>16</v>
      </c>
      <c r="C185" s="421">
        <f>B159</f>
        <v>610</v>
      </c>
      <c r="D185" s="191">
        <f>E184</f>
        <v>0.55879999999999996</v>
      </c>
      <c r="E185" s="233">
        <f>IFERROR(C185*D185,0)</f>
        <v>340.86799999999999</v>
      </c>
      <c r="F185" s="280"/>
      <c r="I185" s="210"/>
      <c r="J185" s="210"/>
    </row>
    <row r="186" spans="1:10" ht="16.5" thickBot="1" x14ac:dyDescent="0.25">
      <c r="A186" s="460" t="str">
        <f>F180</f>
        <v>Total (R$)</v>
      </c>
      <c r="B186" s="463"/>
      <c r="C186" s="463"/>
      <c r="D186" s="463"/>
      <c r="E186" s="497"/>
      <c r="F186" s="230">
        <f>E185</f>
        <v>340.86799999999999</v>
      </c>
      <c r="I186" s="210"/>
      <c r="J186" s="210"/>
    </row>
    <row r="187" spans="1:10" ht="11.25" customHeight="1" x14ac:dyDescent="0.2">
      <c r="I187" s="210"/>
      <c r="J187" s="210"/>
    </row>
    <row r="188" spans="1:10" ht="11.25" customHeight="1" thickBot="1" x14ac:dyDescent="0.25">
      <c r="G188" s="109"/>
      <c r="I188" s="210"/>
      <c r="J188" s="210"/>
    </row>
    <row r="189" spans="1:10" ht="16.5" thickBot="1" x14ac:dyDescent="0.25">
      <c r="A189" s="236" t="s">
        <v>208</v>
      </c>
      <c r="B189" s="237"/>
      <c r="C189" s="237"/>
      <c r="D189" s="172"/>
      <c r="E189" s="172"/>
      <c r="F189" s="232">
        <f>+SUM(F109:F188)</f>
        <v>3106.8322947926376</v>
      </c>
      <c r="G189" s="109"/>
      <c r="I189" s="210"/>
      <c r="J189" s="210"/>
    </row>
    <row r="190" spans="1:10" ht="11.25" customHeight="1" x14ac:dyDescent="0.2">
      <c r="G190" s="109"/>
      <c r="I190" s="210"/>
      <c r="J190" s="210"/>
    </row>
    <row r="191" spans="1:10" x14ac:dyDescent="0.2">
      <c r="A191" s="142" t="s">
        <v>68</v>
      </c>
      <c r="B191" s="142"/>
      <c r="C191" s="142"/>
      <c r="D191" s="143"/>
      <c r="E191" s="143"/>
      <c r="F191" s="226"/>
      <c r="G191" s="109"/>
      <c r="I191" s="210"/>
      <c r="J191" s="210"/>
    </row>
    <row r="192" spans="1:10" ht="11.25" customHeight="1" thickBot="1" x14ac:dyDescent="0.25">
      <c r="G192" s="109"/>
      <c r="I192" s="210"/>
      <c r="J192" s="210"/>
    </row>
    <row r="193" spans="1:12" ht="16.5" thickBot="1" x14ac:dyDescent="0.25">
      <c r="A193" s="183" t="s">
        <v>59</v>
      </c>
      <c r="B193" s="184" t="s">
        <v>60</v>
      </c>
      <c r="C193" s="184" t="s">
        <v>37</v>
      </c>
      <c r="D193" s="185" t="s">
        <v>216</v>
      </c>
      <c r="E193" s="185" t="s">
        <v>61</v>
      </c>
      <c r="F193" s="186" t="s">
        <v>285</v>
      </c>
      <c r="G193" s="109"/>
    </row>
    <row r="194" spans="1:12" x14ac:dyDescent="0.2">
      <c r="A194" s="41" t="s">
        <v>66</v>
      </c>
      <c r="B194" s="42" t="s">
        <v>8</v>
      </c>
      <c r="C194" s="205">
        <v>0.16666666666666666</v>
      </c>
      <c r="D194" s="188">
        <v>33.85</v>
      </c>
      <c r="E194" s="233">
        <f>C194*D194</f>
        <v>5.6416666666666666</v>
      </c>
      <c r="F194" s="299"/>
      <c r="G194" s="109"/>
    </row>
    <row r="195" spans="1:12" x14ac:dyDescent="0.2">
      <c r="A195" s="41" t="s">
        <v>25</v>
      </c>
      <c r="B195" s="42" t="s">
        <v>8</v>
      </c>
      <c r="C195" s="205">
        <v>0.16666666666666666</v>
      </c>
      <c r="D195" s="188">
        <v>34.19</v>
      </c>
      <c r="E195" s="233">
        <f>C195*D195</f>
        <v>5.6983333333333324</v>
      </c>
      <c r="F195" s="293"/>
      <c r="G195" s="109"/>
    </row>
    <row r="196" spans="1:12" ht="16.5" thickBot="1" x14ac:dyDescent="0.25">
      <c r="A196" s="460" t="str">
        <f>F193</f>
        <v>Total (R$)</v>
      </c>
      <c r="B196" s="463"/>
      <c r="C196" s="463"/>
      <c r="D196" s="463"/>
      <c r="E196" s="497"/>
      <c r="F196" s="230">
        <f>SUM(E194:E195)</f>
        <v>11.34</v>
      </c>
      <c r="G196" s="109"/>
    </row>
    <row r="197" spans="1:12" ht="11.25" customHeight="1" thickBot="1" x14ac:dyDescent="0.25">
      <c r="G197" s="109"/>
    </row>
    <row r="198" spans="1:12" ht="16.5" thickBot="1" x14ac:dyDescent="0.25">
      <c r="A198" s="492" t="s">
        <v>209</v>
      </c>
      <c r="B198" s="493"/>
      <c r="C198" s="493"/>
      <c r="D198" s="493"/>
      <c r="E198" s="493"/>
      <c r="F198" s="196">
        <f>+F196</f>
        <v>11.34</v>
      </c>
      <c r="G198" s="109"/>
    </row>
    <row r="199" spans="1:12" ht="11.25" customHeight="1" x14ac:dyDescent="0.2">
      <c r="G199" s="109"/>
    </row>
    <row r="200" spans="1:12" x14ac:dyDescent="0.2">
      <c r="A200" s="142" t="s">
        <v>69</v>
      </c>
      <c r="B200" s="142"/>
      <c r="C200" s="142"/>
      <c r="D200" s="143"/>
      <c r="E200" s="143"/>
      <c r="F200" s="226"/>
    </row>
    <row r="201" spans="1:12" ht="11.25" customHeight="1" thickBot="1" x14ac:dyDescent="0.25"/>
    <row r="202" spans="1:12" ht="16.5" thickBot="1" x14ac:dyDescent="0.25">
      <c r="A202" s="183" t="s">
        <v>59</v>
      </c>
      <c r="B202" s="184" t="s">
        <v>60</v>
      </c>
      <c r="C202" s="184" t="s">
        <v>37</v>
      </c>
      <c r="D202" s="185" t="s">
        <v>216</v>
      </c>
      <c r="E202" s="185" t="s">
        <v>61</v>
      </c>
      <c r="F202" s="186" t="s">
        <v>285</v>
      </c>
    </row>
    <row r="203" spans="1:12" x14ac:dyDescent="0.2">
      <c r="A203" s="41" t="s">
        <v>206</v>
      </c>
      <c r="B203" s="42" t="s">
        <v>54</v>
      </c>
      <c r="C203" s="208">
        <f>C109</f>
        <v>1</v>
      </c>
      <c r="D203" s="217">
        <v>250</v>
      </c>
      <c r="E203" s="233">
        <f>+D203*C203</f>
        <v>250</v>
      </c>
      <c r="F203" s="299"/>
    </row>
    <row r="204" spans="1:12" x14ac:dyDescent="0.2">
      <c r="A204" s="41" t="s">
        <v>56</v>
      </c>
      <c r="B204" s="42" t="s">
        <v>6</v>
      </c>
      <c r="C204" s="227">
        <v>60</v>
      </c>
      <c r="D204" s="191">
        <f>SUM(E203:E203)</f>
        <v>250</v>
      </c>
      <c r="E204" s="233">
        <f>+D204/C204</f>
        <v>4.166666666666667</v>
      </c>
      <c r="F204" s="293"/>
    </row>
    <row r="205" spans="1:12" x14ac:dyDescent="0.2">
      <c r="A205" s="41" t="s">
        <v>207</v>
      </c>
      <c r="B205" s="42" t="s">
        <v>8</v>
      </c>
      <c r="C205" s="208">
        <f>+C203</f>
        <v>1</v>
      </c>
      <c r="D205" s="217">
        <v>75</v>
      </c>
      <c r="E205" s="233">
        <f>C205*D205</f>
        <v>75</v>
      </c>
      <c r="F205" s="293"/>
    </row>
    <row r="206" spans="1:12" x14ac:dyDescent="0.2">
      <c r="A206" s="41" t="s">
        <v>34</v>
      </c>
      <c r="B206" s="42" t="s">
        <v>6</v>
      </c>
      <c r="C206" s="227">
        <v>1</v>
      </c>
      <c r="D206" s="191">
        <f>+E205</f>
        <v>75</v>
      </c>
      <c r="E206" s="233">
        <f>+D206/C206</f>
        <v>75</v>
      </c>
      <c r="F206" s="293"/>
    </row>
    <row r="207" spans="1:12" ht="16.5" thickBot="1" x14ac:dyDescent="0.25">
      <c r="A207" s="460" t="str">
        <f>F202</f>
        <v>Total (R$)</v>
      </c>
      <c r="B207" s="463"/>
      <c r="C207" s="497"/>
      <c r="D207" s="277" t="s">
        <v>286</v>
      </c>
      <c r="E207" s="383">
        <f>$B$49</f>
        <v>0.1016</v>
      </c>
      <c r="F207" s="307">
        <f>(E204+E206)*E207</f>
        <v>8.043333333333333</v>
      </c>
    </row>
    <row r="208" spans="1:12" s="229" customFormat="1" ht="11.25" customHeight="1" thickBot="1" x14ac:dyDescent="0.25">
      <c r="A208" s="109"/>
      <c r="B208" s="109"/>
      <c r="C208" s="109"/>
      <c r="D208" s="145"/>
      <c r="E208" s="145"/>
      <c r="F208" s="145"/>
      <c r="G208" s="228"/>
      <c r="H208" s="109"/>
      <c r="I208" s="109"/>
      <c r="J208" s="109"/>
      <c r="K208" s="109"/>
      <c r="L208" s="109"/>
    </row>
    <row r="209" spans="1:12" ht="16.5" thickBot="1" x14ac:dyDescent="0.25">
      <c r="A209" s="492" t="s">
        <v>205</v>
      </c>
      <c r="B209" s="493"/>
      <c r="C209" s="493"/>
      <c r="D209" s="493"/>
      <c r="E209" s="493"/>
      <c r="F209" s="196">
        <f>+F207</f>
        <v>8.043333333333333</v>
      </c>
    </row>
    <row r="210" spans="1:12" ht="11.25" customHeight="1" x14ac:dyDescent="0.2">
      <c r="A210" s="342"/>
      <c r="B210" s="342"/>
      <c r="C210" s="342"/>
      <c r="D210" s="342"/>
      <c r="E210" s="342"/>
      <c r="F210" s="226"/>
    </row>
    <row r="211" spans="1:12" x14ac:dyDescent="0.2">
      <c r="A211" s="142" t="s">
        <v>330</v>
      </c>
      <c r="B211" s="142"/>
      <c r="C211" s="142"/>
      <c r="D211" s="143"/>
      <c r="E211" s="143"/>
      <c r="F211" s="226"/>
    </row>
    <row r="212" spans="1:12" ht="16.5" thickBot="1" x14ac:dyDescent="0.25"/>
    <row r="213" spans="1:12" ht="16.5" thickBot="1" x14ac:dyDescent="0.25">
      <c r="A213" s="183" t="s">
        <v>59</v>
      </c>
      <c r="B213" s="184" t="s">
        <v>60</v>
      </c>
      <c r="C213" s="184" t="s">
        <v>37</v>
      </c>
      <c r="D213" s="185" t="s">
        <v>216</v>
      </c>
      <c r="E213" s="185" t="s">
        <v>61</v>
      </c>
      <c r="F213" s="186" t="s">
        <v>285</v>
      </c>
      <c r="H213" s="229"/>
      <c r="I213" s="229"/>
      <c r="J213" s="229"/>
      <c r="K213" s="229"/>
      <c r="L213" s="229"/>
    </row>
    <row r="214" spans="1:12" x14ac:dyDescent="0.2">
      <c r="A214" s="41" t="s">
        <v>331</v>
      </c>
      <c r="B214" s="42" t="s">
        <v>233</v>
      </c>
      <c r="C214" s="393">
        <v>10</v>
      </c>
      <c r="D214" s="217">
        <v>104</v>
      </c>
      <c r="E214" s="233">
        <f>+D214*C214</f>
        <v>1040</v>
      </c>
      <c r="F214" s="299"/>
    </row>
    <row r="215" spans="1:12" ht="16.5" thickBot="1" x14ac:dyDescent="0.25">
      <c r="A215" s="460" t="str">
        <f>F213</f>
        <v>Total (R$)</v>
      </c>
      <c r="B215" s="463"/>
      <c r="C215" s="497"/>
      <c r="D215" s="277" t="s">
        <v>286</v>
      </c>
      <c r="E215" s="286">
        <v>1</v>
      </c>
      <c r="F215" s="307">
        <f>E214</f>
        <v>1040</v>
      </c>
    </row>
    <row r="216" spans="1:12" ht="11.25" customHeight="1" thickBot="1" x14ac:dyDescent="0.25"/>
    <row r="217" spans="1:12" ht="17.25" customHeight="1" thickBot="1" x14ac:dyDescent="0.25">
      <c r="A217" s="492" t="s">
        <v>210</v>
      </c>
      <c r="B217" s="493"/>
      <c r="C217" s="493"/>
      <c r="D217" s="493"/>
      <c r="E217" s="493"/>
      <c r="F217" s="331">
        <f>+F84+F101+F189+F198+F209+F215</f>
        <v>4537.6987863936638</v>
      </c>
    </row>
    <row r="218" spans="1:12" ht="11.25" customHeight="1" x14ac:dyDescent="0.2"/>
    <row r="219" spans="1:12" x14ac:dyDescent="0.2">
      <c r="A219" s="118" t="s">
        <v>334</v>
      </c>
    </row>
    <row r="220" spans="1:12" ht="11.25" customHeight="1" thickBot="1" x14ac:dyDescent="0.25"/>
    <row r="221" spans="1:12" ht="16.5" thickBot="1" x14ac:dyDescent="0.25">
      <c r="A221" s="183" t="s">
        <v>59</v>
      </c>
      <c r="B221" s="184" t="s">
        <v>60</v>
      </c>
      <c r="C221" s="184" t="s">
        <v>37</v>
      </c>
      <c r="D221" s="185" t="s">
        <v>216</v>
      </c>
      <c r="E221" s="185" t="s">
        <v>61</v>
      </c>
      <c r="F221" s="186" t="s">
        <v>285</v>
      </c>
    </row>
    <row r="222" spans="1:12" x14ac:dyDescent="0.2">
      <c r="A222" s="271" t="s">
        <v>33</v>
      </c>
      <c r="B222" s="187" t="s">
        <v>2</v>
      </c>
      <c r="C222" s="194">
        <f>'4.BDI'!B14*100</f>
        <v>27.310000000000002</v>
      </c>
      <c r="D222" s="189">
        <f>+F217-F215</f>
        <v>3497.6987863936638</v>
      </c>
      <c r="E222" s="234">
        <f>C222*D222/100</f>
        <v>955.22153856410966</v>
      </c>
      <c r="F222" s="279"/>
    </row>
    <row r="223" spans="1:12" ht="31.5" x14ac:dyDescent="0.2">
      <c r="A223" s="345" t="s">
        <v>333</v>
      </c>
      <c r="B223" s="187" t="s">
        <v>2</v>
      </c>
      <c r="C223" s="194">
        <f>'4.BDI'!B28*100</f>
        <v>27.310000000000002</v>
      </c>
      <c r="D223" s="189">
        <f>F215</f>
        <v>1040</v>
      </c>
      <c r="E223" s="234">
        <f>C223*D223/100</f>
        <v>284.024</v>
      </c>
      <c r="F223" s="280"/>
    </row>
    <row r="224" spans="1:12" ht="16.5" thickBot="1" x14ac:dyDescent="0.25">
      <c r="A224" s="516" t="str">
        <f>F221</f>
        <v>Total (R$)</v>
      </c>
      <c r="B224" s="517"/>
      <c r="C224" s="517"/>
      <c r="D224" s="517"/>
      <c r="E224" s="517"/>
      <c r="F224" s="230">
        <f>+E222+E223</f>
        <v>1239.2455385641097</v>
      </c>
    </row>
    <row r="225" spans="1:12" ht="11.25" customHeight="1" thickBot="1" x14ac:dyDescent="0.25"/>
    <row r="226" spans="1:12" ht="16.5" thickBot="1" x14ac:dyDescent="0.25">
      <c r="A226" s="492" t="s">
        <v>220</v>
      </c>
      <c r="B226" s="493"/>
      <c r="C226" s="493"/>
      <c r="D226" s="493"/>
      <c r="E226" s="493"/>
      <c r="F226" s="331">
        <f>F224</f>
        <v>1239.2455385641097</v>
      </c>
    </row>
    <row r="227" spans="1:12" x14ac:dyDescent="0.2">
      <c r="A227" s="142"/>
      <c r="B227" s="142"/>
      <c r="C227" s="142"/>
      <c r="D227" s="143"/>
      <c r="E227" s="143"/>
      <c r="F227" s="226"/>
    </row>
    <row r="228" spans="1:12" ht="11.25" customHeight="1" thickBot="1" x14ac:dyDescent="0.25"/>
    <row r="229" spans="1:12" ht="16.5" thickBot="1" x14ac:dyDescent="0.25">
      <c r="A229" s="492" t="s">
        <v>211</v>
      </c>
      <c r="B229" s="493"/>
      <c r="C229" s="493"/>
      <c r="D229" s="493"/>
      <c r="E229" s="493"/>
      <c r="F229" s="331">
        <f>F217+F226</f>
        <v>5776.9443249577735</v>
      </c>
    </row>
    <row r="230" spans="1:12" ht="12.6" customHeight="1" x14ac:dyDescent="0.2">
      <c r="A230" s="142"/>
      <c r="B230" s="142"/>
      <c r="C230" s="142"/>
      <c r="D230" s="143"/>
      <c r="E230" s="143"/>
      <c r="F230" s="143"/>
    </row>
    <row r="232" spans="1:12" ht="12.6" customHeight="1" x14ac:dyDescent="0.2">
      <c r="A232" s="142"/>
      <c r="B232" s="142"/>
      <c r="C232" s="142"/>
      <c r="D232" s="143"/>
      <c r="E232" s="143"/>
      <c r="F232" s="143"/>
    </row>
    <row r="233" spans="1:12" s="145" customFormat="1" ht="9.75" customHeight="1" x14ac:dyDescent="0.2">
      <c r="A233" s="144"/>
      <c r="H233" s="109"/>
      <c r="I233" s="109"/>
      <c r="J233" s="109"/>
      <c r="K233" s="109"/>
      <c r="L233" s="109"/>
    </row>
    <row r="234" spans="1:12" s="145" customFormat="1" ht="9.75" customHeight="1" x14ac:dyDescent="0.2">
      <c r="A234" s="144"/>
      <c r="H234" s="109"/>
      <c r="I234" s="109"/>
      <c r="J234" s="109"/>
      <c r="K234" s="109"/>
      <c r="L234" s="109"/>
    </row>
    <row r="235" spans="1:12" s="145" customFormat="1" ht="9.75" customHeight="1" x14ac:dyDescent="0.2">
      <c r="A235" s="144"/>
      <c r="H235" s="109"/>
      <c r="I235" s="109"/>
      <c r="J235" s="109"/>
      <c r="K235" s="109"/>
      <c r="L235" s="109"/>
    </row>
    <row r="238" spans="1:12" x14ac:dyDescent="0.2">
      <c r="K238" s="145"/>
      <c r="L238" s="145"/>
    </row>
    <row r="239" spans="1:12" x14ac:dyDescent="0.2">
      <c r="K239" s="145"/>
      <c r="L239" s="145"/>
    </row>
    <row r="240" spans="1:12" x14ac:dyDescent="0.2">
      <c r="K240" s="145"/>
      <c r="L240" s="145"/>
    </row>
    <row r="265" s="109" customFormat="1" ht="9" customHeight="1" x14ac:dyDescent="0.2"/>
  </sheetData>
  <mergeCells count="60">
    <mergeCell ref="C9:D9"/>
    <mergeCell ref="C10:D10"/>
    <mergeCell ref="C11:D11"/>
    <mergeCell ref="C12:D12"/>
    <mergeCell ref="A196:E196"/>
    <mergeCell ref="A54:F54"/>
    <mergeCell ref="A51:F51"/>
    <mergeCell ref="A126:C126"/>
    <mergeCell ref="A82:C82"/>
    <mergeCell ref="A99:C99"/>
    <mergeCell ref="A101:E101"/>
    <mergeCell ref="A64:C64"/>
    <mergeCell ref="A72:E72"/>
    <mergeCell ref="A77:E77"/>
    <mergeCell ref="A79:F79"/>
    <mergeCell ref="A85:F85"/>
    <mergeCell ref="A229:E229"/>
    <mergeCell ref="A207:C207"/>
    <mergeCell ref="A209:E209"/>
    <mergeCell ref="A217:E217"/>
    <mergeCell ref="A224:E224"/>
    <mergeCell ref="A226:E226"/>
    <mergeCell ref="A198:E198"/>
    <mergeCell ref="A215:C215"/>
    <mergeCell ref="A147:C147"/>
    <mergeCell ref="A155:C155"/>
    <mergeCell ref="A173:E173"/>
    <mergeCell ref="A178:E178"/>
    <mergeCell ref="A186:E186"/>
    <mergeCell ref="A86:F86"/>
    <mergeCell ref="A87:F87"/>
    <mergeCell ref="A88:F88"/>
    <mergeCell ref="A89:F89"/>
    <mergeCell ref="A78:F78"/>
    <mergeCell ref="A65:F65"/>
    <mergeCell ref="A66:F66"/>
    <mergeCell ref="A67:F67"/>
    <mergeCell ref="A73:F73"/>
    <mergeCell ref="A74:F74"/>
    <mergeCell ref="A1:F1"/>
    <mergeCell ref="A2:F2"/>
    <mergeCell ref="A3:F3"/>
    <mergeCell ref="A4:F4"/>
    <mergeCell ref="A5:F5"/>
    <mergeCell ref="A60:D60"/>
    <mergeCell ref="A62:D62"/>
    <mergeCell ref="A6:F6"/>
    <mergeCell ref="A16:F16"/>
    <mergeCell ref="A23:C23"/>
    <mergeCell ref="A39:E39"/>
    <mergeCell ref="A40:D40"/>
    <mergeCell ref="A13:F13"/>
    <mergeCell ref="A7:F7"/>
    <mergeCell ref="A8:F8"/>
    <mergeCell ref="A15:F15"/>
    <mergeCell ref="A14:F14"/>
    <mergeCell ref="A50:F50"/>
    <mergeCell ref="A44:D44"/>
    <mergeCell ref="A52:F52"/>
    <mergeCell ref="A53:F53"/>
  </mergeCells>
  <hyperlinks>
    <hyperlink ref="A128" location="AbaRemun" display="3.1.2. Remuneração do Capital"/>
    <hyperlink ref="A107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62" fitToHeight="0" orientation="portrait" r:id="rId1"/>
  <headerFooter alignWithMargins="0">
    <oddFooter>&amp;R&amp;P de &amp;N</oddFooter>
  </headerFooter>
  <rowBreaks count="4" manualBreakCount="4">
    <brk id="50" max="5" man="1"/>
    <brk id="66" max="5" man="1"/>
    <brk id="102" max="5" man="1"/>
    <brk id="178" max="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4" zoomScaleNormal="100" workbookViewId="0">
      <selection activeCell="D26" sqref="D26"/>
    </sheetView>
  </sheetViews>
  <sheetFormatPr defaultColWidth="9.140625" defaultRowHeight="12.75" x14ac:dyDescent="0.2"/>
  <cols>
    <col min="1" max="1" width="13.5703125" style="1" customWidth="1"/>
    <col min="2" max="2" width="36.7109375" style="1" bestFit="1" customWidth="1"/>
    <col min="3" max="3" width="14.5703125" style="1" customWidth="1"/>
    <col min="4" max="4" width="37.28515625" style="5" customWidth="1"/>
    <col min="5" max="10" width="9.140625" style="1"/>
    <col min="11" max="11" width="11" style="1" bestFit="1" customWidth="1"/>
    <col min="12" max="16384" width="9.140625" style="1"/>
  </cols>
  <sheetData>
    <row r="1" spans="1:12" hidden="1" x14ac:dyDescent="0.2">
      <c r="A1" s="2" t="s">
        <v>189</v>
      </c>
    </row>
    <row r="2" spans="1:12" hidden="1" x14ac:dyDescent="0.2">
      <c r="A2" s="3" t="s">
        <v>225</v>
      </c>
    </row>
    <row r="3" spans="1:12" ht="13.5" hidden="1" thickBot="1" x14ac:dyDescent="0.25"/>
    <row r="4" spans="1:12" ht="18" x14ac:dyDescent="0.2">
      <c r="A4" s="528" t="s">
        <v>213</v>
      </c>
      <c r="B4" s="529"/>
      <c r="C4" s="530"/>
      <c r="D4" s="4"/>
      <c r="E4" s="4"/>
      <c r="F4" s="4"/>
    </row>
    <row r="5" spans="1:12" ht="15.75" x14ac:dyDescent="0.2">
      <c r="A5" s="95" t="s">
        <v>132</v>
      </c>
      <c r="B5" s="96" t="s">
        <v>133</v>
      </c>
      <c r="C5" s="97" t="s">
        <v>134</v>
      </c>
      <c r="D5" s="6"/>
    </row>
    <row r="6" spans="1:12" ht="15.75" x14ac:dyDescent="0.2">
      <c r="A6" s="94" t="s">
        <v>135</v>
      </c>
      <c r="B6" s="86" t="s">
        <v>38</v>
      </c>
      <c r="C6" s="87">
        <v>0.2</v>
      </c>
      <c r="D6" s="6"/>
      <c r="F6" s="5"/>
      <c r="G6" s="5"/>
      <c r="H6" s="5"/>
      <c r="I6" s="5"/>
      <c r="J6" s="5"/>
      <c r="K6" s="5"/>
      <c r="L6" s="5"/>
    </row>
    <row r="7" spans="1:12" ht="15.75" x14ac:dyDescent="0.2">
      <c r="A7" s="94" t="s">
        <v>136</v>
      </c>
      <c r="B7" s="86" t="s">
        <v>137</v>
      </c>
      <c r="C7" s="87">
        <v>1.4999999999999999E-2</v>
      </c>
      <c r="D7" s="6"/>
      <c r="F7" s="5"/>
      <c r="G7" s="5"/>
      <c r="H7" s="5"/>
      <c r="I7" s="5"/>
      <c r="J7" s="5"/>
      <c r="K7" s="5"/>
      <c r="L7" s="5"/>
    </row>
    <row r="8" spans="1:12" ht="15.75" x14ac:dyDescent="0.2">
      <c r="A8" s="94" t="s">
        <v>138</v>
      </c>
      <c r="B8" s="86" t="s">
        <v>139</v>
      </c>
      <c r="C8" s="87">
        <v>0.01</v>
      </c>
      <c r="D8" s="6"/>
      <c r="F8" s="5"/>
      <c r="G8" s="5"/>
      <c r="H8" s="5"/>
      <c r="I8" s="5"/>
      <c r="J8" s="5"/>
      <c r="K8" s="5"/>
      <c r="L8" s="5"/>
    </row>
    <row r="9" spans="1:12" ht="15.75" x14ac:dyDescent="0.2">
      <c r="A9" s="94" t="s">
        <v>140</v>
      </c>
      <c r="B9" s="86" t="s">
        <v>141</v>
      </c>
      <c r="C9" s="87">
        <v>2E-3</v>
      </c>
      <c r="D9" s="6"/>
      <c r="F9" s="5"/>
      <c r="G9" s="5"/>
      <c r="H9" s="5"/>
      <c r="I9" s="5"/>
      <c r="J9" s="5"/>
      <c r="K9" s="5"/>
      <c r="L9" s="5"/>
    </row>
    <row r="10" spans="1:12" ht="15.75" x14ac:dyDescent="0.2">
      <c r="A10" s="94" t="s">
        <v>142</v>
      </c>
      <c r="B10" s="86" t="s">
        <v>143</v>
      </c>
      <c r="C10" s="87">
        <v>6.0000000000000001E-3</v>
      </c>
      <c r="D10" s="6"/>
      <c r="F10" s="5"/>
      <c r="G10" s="5"/>
      <c r="H10" s="5"/>
      <c r="I10" s="5"/>
      <c r="J10" s="5"/>
      <c r="K10" s="5"/>
      <c r="L10" s="5"/>
    </row>
    <row r="11" spans="1:12" ht="15.75" x14ac:dyDescent="0.2">
      <c r="A11" s="94" t="s">
        <v>144</v>
      </c>
      <c r="B11" s="86" t="s">
        <v>145</v>
      </c>
      <c r="C11" s="87">
        <v>2.5000000000000001E-2</v>
      </c>
      <c r="D11" s="6"/>
      <c r="F11" s="5"/>
      <c r="G11" s="5"/>
      <c r="H11" s="5"/>
      <c r="I11" s="5"/>
      <c r="J11" s="5"/>
      <c r="K11" s="5"/>
      <c r="L11" s="5"/>
    </row>
    <row r="12" spans="1:12" ht="15.75" x14ac:dyDescent="0.2">
      <c r="A12" s="94" t="s">
        <v>146</v>
      </c>
      <c r="B12" s="86" t="s">
        <v>147</v>
      </c>
      <c r="C12" s="87">
        <v>0.03</v>
      </c>
      <c r="D12" s="6"/>
      <c r="F12" s="5"/>
      <c r="G12" s="5"/>
      <c r="H12" s="5"/>
      <c r="I12" s="5"/>
      <c r="J12" s="5"/>
      <c r="K12" s="5"/>
      <c r="L12" s="5"/>
    </row>
    <row r="13" spans="1:12" ht="15.75" x14ac:dyDescent="0.2">
      <c r="A13" s="94" t="s">
        <v>148</v>
      </c>
      <c r="B13" s="86" t="s">
        <v>39</v>
      </c>
      <c r="C13" s="87">
        <v>0.08</v>
      </c>
      <c r="D13" s="7"/>
      <c r="F13" s="5"/>
      <c r="G13" s="5"/>
      <c r="H13" s="5"/>
      <c r="I13" s="5"/>
      <c r="J13" s="5"/>
      <c r="K13" s="5"/>
      <c r="L13" s="5"/>
    </row>
    <row r="14" spans="1:12" ht="15.75" x14ac:dyDescent="0.2">
      <c r="A14" s="100" t="s">
        <v>149</v>
      </c>
      <c r="B14" s="101" t="s">
        <v>150</v>
      </c>
      <c r="C14" s="102">
        <f>SUM(C6:C13)</f>
        <v>0.36800000000000005</v>
      </c>
      <c r="D14" s="7"/>
      <c r="F14" s="5"/>
      <c r="G14" s="5"/>
      <c r="H14" s="5"/>
      <c r="I14" s="5"/>
      <c r="J14" s="5"/>
      <c r="K14" s="5"/>
      <c r="L14" s="5"/>
    </row>
    <row r="15" spans="1:12" ht="15.75" x14ac:dyDescent="0.2">
      <c r="A15" s="98"/>
      <c r="B15" s="88"/>
      <c r="C15" s="89"/>
      <c r="D15" s="7"/>
      <c r="F15" s="5"/>
      <c r="G15" s="5"/>
      <c r="H15" s="5"/>
      <c r="I15" s="5"/>
      <c r="J15" s="5"/>
      <c r="K15" s="5"/>
      <c r="L15" s="5"/>
    </row>
    <row r="16" spans="1:12" ht="15.75" x14ac:dyDescent="0.2">
      <c r="A16" s="94" t="s">
        <v>151</v>
      </c>
      <c r="B16" s="90" t="s">
        <v>152</v>
      </c>
      <c r="C16" s="87">
        <v>6.5699999999999995E-2</v>
      </c>
      <c r="D16" s="7"/>
      <c r="F16" s="5"/>
      <c r="G16" s="5"/>
      <c r="H16" s="5"/>
      <c r="I16" s="5"/>
      <c r="J16" s="5"/>
      <c r="K16" s="5"/>
      <c r="L16" s="5"/>
    </row>
    <row r="17" spans="1:12" ht="15.75" x14ac:dyDescent="0.2">
      <c r="A17" s="94" t="s">
        <v>153</v>
      </c>
      <c r="B17" s="90" t="s">
        <v>154</v>
      </c>
      <c r="C17" s="87">
        <v>8.3299999999999999E-2</v>
      </c>
      <c r="D17" s="7"/>
      <c r="F17" s="5"/>
      <c r="G17" s="5"/>
      <c r="H17" s="5"/>
      <c r="I17" s="5"/>
      <c r="J17" s="5"/>
      <c r="K17" s="5"/>
      <c r="L17" s="5"/>
    </row>
    <row r="18" spans="1:12" ht="15.75" x14ac:dyDescent="0.2">
      <c r="A18" s="94" t="s">
        <v>204</v>
      </c>
      <c r="B18" s="90" t="s">
        <v>156</v>
      </c>
      <c r="C18" s="87">
        <v>5.9999999999999995E-4</v>
      </c>
      <c r="D18" s="7"/>
      <c r="F18" s="5"/>
      <c r="G18" s="5"/>
      <c r="H18" s="5"/>
      <c r="I18" s="5"/>
      <c r="J18" s="5"/>
      <c r="K18" s="5"/>
      <c r="L18" s="5"/>
    </row>
    <row r="19" spans="1:12" ht="15.75" x14ac:dyDescent="0.2">
      <c r="A19" s="94" t="s">
        <v>155</v>
      </c>
      <c r="B19" s="90" t="s">
        <v>158</v>
      </c>
      <c r="C19" s="87">
        <v>8.2000000000000007E-3</v>
      </c>
      <c r="D19" s="7"/>
      <c r="F19" s="5"/>
      <c r="G19" s="5"/>
      <c r="H19" s="5"/>
      <c r="I19" s="5"/>
      <c r="J19" s="5"/>
      <c r="K19" s="5"/>
      <c r="L19" s="5"/>
    </row>
    <row r="20" spans="1:12" ht="15.75" x14ac:dyDescent="0.2">
      <c r="A20" s="94" t="s">
        <v>157</v>
      </c>
      <c r="B20" s="90" t="s">
        <v>160</v>
      </c>
      <c r="C20" s="87">
        <v>3.0999999999999999E-3</v>
      </c>
      <c r="D20" s="7"/>
      <c r="F20" s="5"/>
      <c r="G20" s="5"/>
      <c r="H20" s="5"/>
      <c r="I20" s="5"/>
      <c r="J20" s="5"/>
      <c r="K20" s="5"/>
      <c r="L20" s="5"/>
    </row>
    <row r="21" spans="1:12" ht="15.75" x14ac:dyDescent="0.2">
      <c r="A21" s="94" t="s">
        <v>159</v>
      </c>
      <c r="B21" s="90" t="s">
        <v>161</v>
      </c>
      <c r="C21" s="87">
        <v>1.66E-2</v>
      </c>
      <c r="D21" s="7"/>
      <c r="F21" s="5"/>
      <c r="G21" s="5"/>
      <c r="H21" s="5"/>
      <c r="I21" s="5"/>
      <c r="J21" s="5"/>
      <c r="K21" s="5"/>
      <c r="L21" s="5"/>
    </row>
    <row r="22" spans="1:12" ht="15.75" x14ac:dyDescent="0.2">
      <c r="A22" s="100" t="s">
        <v>162</v>
      </c>
      <c r="B22" s="101" t="s">
        <v>163</v>
      </c>
      <c r="C22" s="102">
        <v>0.17749999999999999</v>
      </c>
      <c r="D22" s="8"/>
      <c r="F22" s="5"/>
      <c r="G22" s="5"/>
      <c r="H22" s="5"/>
      <c r="I22" s="5"/>
      <c r="J22" s="5"/>
      <c r="K22" s="5"/>
      <c r="L22" s="5"/>
    </row>
    <row r="23" spans="1:12" ht="15.75" x14ac:dyDescent="0.2">
      <c r="A23" s="98"/>
      <c r="B23" s="88"/>
      <c r="C23" s="89"/>
      <c r="D23" s="8"/>
      <c r="F23" s="5"/>
      <c r="G23" s="5"/>
      <c r="H23" s="5"/>
      <c r="I23" s="5"/>
      <c r="J23" s="5"/>
      <c r="K23" s="5"/>
      <c r="L23" s="5"/>
    </row>
    <row r="24" spans="1:12" ht="15.75" x14ac:dyDescent="0.2">
      <c r="A24" s="94" t="s">
        <v>164</v>
      </c>
      <c r="B24" s="86" t="s">
        <v>165</v>
      </c>
      <c r="C24" s="87">
        <v>2.9000000000000001E-2</v>
      </c>
      <c r="D24" s="7"/>
      <c r="E24" s="9"/>
      <c r="F24" s="5"/>
      <c r="G24" s="5"/>
      <c r="H24" s="5"/>
      <c r="I24" s="5"/>
      <c r="J24" s="5"/>
      <c r="K24" s="5"/>
      <c r="L24" s="5"/>
    </row>
    <row r="25" spans="1:12" ht="15.75" x14ac:dyDescent="0.2">
      <c r="A25" s="94" t="s">
        <v>203</v>
      </c>
      <c r="B25" s="86" t="s">
        <v>167</v>
      </c>
      <c r="C25" s="87">
        <v>4.5400000000000003E-2</v>
      </c>
      <c r="D25" s="7"/>
      <c r="F25" s="5"/>
      <c r="G25" s="5"/>
      <c r="H25" s="10"/>
      <c r="I25" s="5"/>
      <c r="J25" s="5"/>
      <c r="K25" s="5"/>
      <c r="L25" s="5"/>
    </row>
    <row r="26" spans="1:12" ht="15.75" x14ac:dyDescent="0.2">
      <c r="A26" s="94" t="s">
        <v>166</v>
      </c>
      <c r="B26" s="86" t="s">
        <v>169</v>
      </c>
      <c r="C26" s="87">
        <v>1.3166000000000002E-3</v>
      </c>
      <c r="D26" s="7"/>
      <c r="F26" s="5"/>
      <c r="G26" s="5"/>
      <c r="H26" s="5"/>
      <c r="I26" s="5"/>
      <c r="J26" s="5"/>
      <c r="K26" s="5"/>
      <c r="L26" s="5"/>
    </row>
    <row r="27" spans="1:12" ht="15.75" x14ac:dyDescent="0.2">
      <c r="A27" s="94" t="s">
        <v>168</v>
      </c>
      <c r="B27" s="86" t="s">
        <v>171</v>
      </c>
      <c r="C27" s="87">
        <v>3.15E-2</v>
      </c>
      <c r="D27" s="7"/>
      <c r="F27" s="5"/>
      <c r="G27" s="11"/>
      <c r="H27" s="5"/>
      <c r="I27" s="5"/>
      <c r="J27" s="5"/>
      <c r="K27" s="5"/>
      <c r="L27" s="5"/>
    </row>
    <row r="28" spans="1:12" ht="15.75" x14ac:dyDescent="0.2">
      <c r="A28" s="94" t="s">
        <v>170</v>
      </c>
      <c r="B28" s="86" t="s">
        <v>172</v>
      </c>
      <c r="C28" s="87">
        <v>2E-3</v>
      </c>
      <c r="D28" s="7"/>
      <c r="F28" s="5"/>
      <c r="G28" s="5"/>
      <c r="H28" s="5"/>
      <c r="I28" s="5"/>
      <c r="J28" s="5"/>
      <c r="K28" s="5"/>
      <c r="L28" s="5"/>
    </row>
    <row r="29" spans="1:12" ht="15.75" x14ac:dyDescent="0.2">
      <c r="A29" s="100" t="s">
        <v>173</v>
      </c>
      <c r="B29" s="101" t="s">
        <v>174</v>
      </c>
      <c r="C29" s="102">
        <v>0.10921660000000001</v>
      </c>
      <c r="D29" s="8"/>
      <c r="F29" s="5"/>
      <c r="G29" s="5"/>
      <c r="H29" s="5"/>
      <c r="I29" s="5"/>
      <c r="J29" s="5"/>
      <c r="K29" s="5"/>
      <c r="L29" s="5"/>
    </row>
    <row r="30" spans="1:12" ht="15.75" x14ac:dyDescent="0.2">
      <c r="A30" s="98"/>
      <c r="B30" s="88"/>
      <c r="C30" s="89"/>
      <c r="D30" s="8"/>
      <c r="F30" s="5"/>
      <c r="G30" s="5"/>
      <c r="H30" s="5"/>
      <c r="I30" s="5"/>
      <c r="J30" s="5"/>
      <c r="K30" s="5"/>
      <c r="L30" s="5"/>
    </row>
    <row r="31" spans="1:12" ht="15.75" x14ac:dyDescent="0.2">
      <c r="A31" s="94" t="s">
        <v>175</v>
      </c>
      <c r="B31" s="86" t="s">
        <v>176</v>
      </c>
      <c r="C31" s="87">
        <v>6.5299999999999997E-2</v>
      </c>
      <c r="D31" s="7"/>
      <c r="F31" s="5"/>
      <c r="G31" s="5"/>
      <c r="H31" s="5"/>
      <c r="I31" s="5"/>
      <c r="J31" s="5"/>
      <c r="K31" s="5"/>
      <c r="L31" s="5"/>
    </row>
    <row r="32" spans="1:12" ht="31.5" x14ac:dyDescent="0.2">
      <c r="A32" s="94" t="s">
        <v>177</v>
      </c>
      <c r="B32" s="91" t="s">
        <v>391</v>
      </c>
      <c r="C32" s="87">
        <v>2.3E-3</v>
      </c>
      <c r="D32" s="7"/>
      <c r="F32" s="5"/>
      <c r="G32" s="5"/>
      <c r="H32" s="5"/>
      <c r="I32" s="5"/>
      <c r="J32" s="5"/>
      <c r="K32" s="5"/>
      <c r="L32" s="5"/>
    </row>
    <row r="33" spans="1:12" ht="15.75" x14ac:dyDescent="0.2">
      <c r="A33" s="100" t="s">
        <v>178</v>
      </c>
      <c r="B33" s="101" t="s">
        <v>179</v>
      </c>
      <c r="C33" s="102">
        <v>6.7599999999999993E-2</v>
      </c>
      <c r="D33" s="12"/>
      <c r="F33" s="5"/>
      <c r="G33" s="5"/>
      <c r="H33" s="5"/>
      <c r="I33" s="5"/>
      <c r="J33" s="5"/>
      <c r="K33" s="5"/>
      <c r="L33" s="5"/>
    </row>
    <row r="34" spans="1:12" ht="16.5" thickBot="1" x14ac:dyDescent="0.25">
      <c r="A34" s="99"/>
      <c r="B34" s="92" t="s">
        <v>180</v>
      </c>
      <c r="C34" s="93">
        <f>C33+C29+C22+C14</f>
        <v>0.72231660000000009</v>
      </c>
      <c r="D34" s="12"/>
      <c r="F34" s="5"/>
      <c r="G34" s="5"/>
      <c r="H34" s="5"/>
      <c r="I34" s="5"/>
      <c r="J34" s="5"/>
      <c r="K34" s="5"/>
      <c r="L34" s="5"/>
    </row>
    <row r="35" spans="1:12" ht="15" x14ac:dyDescent="0.2">
      <c r="A35" s="7"/>
      <c r="B35" s="13"/>
      <c r="C35" s="14"/>
      <c r="D35" s="15"/>
      <c r="F35" s="5"/>
      <c r="G35" s="5"/>
      <c r="H35" s="5"/>
      <c r="I35" s="5"/>
      <c r="J35" s="5"/>
      <c r="K35" s="5"/>
      <c r="L35" s="5"/>
    </row>
    <row r="36" spans="1:12" ht="14.25" x14ac:dyDescent="0.2">
      <c r="A36" s="7"/>
      <c r="B36" s="7"/>
      <c r="C36" s="16"/>
      <c r="D36" s="17"/>
      <c r="F36" s="5"/>
      <c r="G36" s="5"/>
      <c r="H36" s="5"/>
      <c r="I36" s="5"/>
      <c r="J36" s="5"/>
      <c r="K36" s="5"/>
      <c r="L36" s="5"/>
    </row>
    <row r="37" spans="1:12" ht="14.25" x14ac:dyDescent="0.2">
      <c r="A37" s="6"/>
      <c r="B37" s="6"/>
      <c r="C37" s="18"/>
      <c r="D37" s="6"/>
      <c r="F37" s="5"/>
      <c r="G37" s="5"/>
      <c r="H37" s="5"/>
      <c r="I37" s="5"/>
      <c r="J37" s="5"/>
      <c r="K37" s="5"/>
      <c r="L37" s="5"/>
    </row>
    <row r="38" spans="1:12" ht="14.25" x14ac:dyDescent="0.2">
      <c r="A38" s="6"/>
      <c r="B38" s="6"/>
      <c r="C38" s="18"/>
      <c r="D38" s="6"/>
      <c r="F38" s="5"/>
      <c r="G38" s="5"/>
      <c r="H38" s="5"/>
      <c r="I38" s="5"/>
      <c r="J38" s="5"/>
      <c r="K38" s="5"/>
      <c r="L38" s="5"/>
    </row>
    <row r="39" spans="1:12" ht="14.25" x14ac:dyDescent="0.2">
      <c r="A39" s="6"/>
      <c r="B39" s="6"/>
      <c r="C39" s="18"/>
      <c r="D39" s="6"/>
      <c r="F39" s="5"/>
      <c r="G39" s="5"/>
      <c r="H39" s="5"/>
      <c r="I39" s="5"/>
      <c r="J39" s="5"/>
      <c r="K39" s="5"/>
      <c r="L39" s="5"/>
    </row>
    <row r="40" spans="1:12" ht="15" x14ac:dyDescent="0.2">
      <c r="A40" s="6"/>
      <c r="B40" s="19"/>
      <c r="C40" s="20"/>
      <c r="D40" s="6"/>
      <c r="F40" s="5"/>
      <c r="G40" s="5"/>
      <c r="H40" s="5"/>
      <c r="I40" s="5"/>
      <c r="J40" s="5"/>
      <c r="K40" s="5"/>
      <c r="L40" s="5"/>
    </row>
    <row r="41" spans="1:12" ht="15" x14ac:dyDescent="0.2">
      <c r="A41" s="12"/>
      <c r="B41" s="19"/>
      <c r="C41" s="20"/>
      <c r="D41" s="12"/>
      <c r="E41" s="5"/>
      <c r="F41" s="5"/>
      <c r="G41" s="5"/>
      <c r="H41" s="5"/>
      <c r="I41" s="5"/>
      <c r="J41" s="5"/>
      <c r="K41" s="5"/>
      <c r="L41" s="5"/>
    </row>
    <row r="42" spans="1:12" ht="16.5" x14ac:dyDescent="0.2">
      <c r="A42" s="21"/>
      <c r="B42" s="5"/>
      <c r="C42" s="5"/>
      <c r="E42" s="5"/>
      <c r="F42" s="5"/>
      <c r="G42" s="5"/>
      <c r="H42" s="5"/>
      <c r="I42" s="5"/>
      <c r="J42" s="5"/>
      <c r="K42" s="5"/>
      <c r="L42" s="5"/>
    </row>
    <row r="43" spans="1:12" x14ac:dyDescent="0.2">
      <c r="A43" s="22"/>
      <c r="B43" s="23"/>
      <c r="C43" s="23"/>
      <c r="E43" s="5"/>
      <c r="F43" s="5"/>
      <c r="G43" s="5"/>
      <c r="H43" s="5"/>
      <c r="I43" s="5"/>
      <c r="J43" s="5"/>
      <c r="K43" s="5"/>
      <c r="L43" s="5"/>
    </row>
    <row r="44" spans="1:12" ht="14.25" x14ac:dyDescent="0.2">
      <c r="A44" s="6"/>
      <c r="B44" s="24"/>
      <c r="C44" s="23"/>
      <c r="E44" s="5"/>
      <c r="F44" s="5"/>
      <c r="G44" s="5"/>
      <c r="H44" s="5"/>
      <c r="I44" s="5"/>
      <c r="J44" s="5"/>
      <c r="K44" s="5"/>
      <c r="L44" s="5"/>
    </row>
    <row r="45" spans="1:12" ht="14.25" x14ac:dyDescent="0.2">
      <c r="A45" s="6"/>
      <c r="B45" s="24"/>
      <c r="C45" s="6"/>
      <c r="E45" s="5"/>
      <c r="F45" s="5"/>
      <c r="G45" s="5"/>
      <c r="H45" s="5"/>
      <c r="I45" s="5"/>
      <c r="J45" s="5"/>
      <c r="K45" s="5"/>
      <c r="L45" s="5"/>
    </row>
    <row r="46" spans="1:12" ht="14.25" x14ac:dyDescent="0.2">
      <c r="A46" s="6"/>
      <c r="B46" s="18"/>
      <c r="C46" s="23"/>
      <c r="E46" s="5"/>
      <c r="F46" s="5"/>
      <c r="G46" s="5"/>
      <c r="H46" s="5"/>
      <c r="I46" s="5"/>
      <c r="J46" s="5"/>
      <c r="K46" s="5"/>
      <c r="L46" s="5"/>
    </row>
    <row r="47" spans="1:12" ht="14.25" x14ac:dyDescent="0.2">
      <c r="A47" s="6"/>
      <c r="B47" s="24"/>
      <c r="C47" s="6"/>
      <c r="E47" s="5"/>
      <c r="F47" s="5"/>
      <c r="G47" s="5"/>
      <c r="H47" s="5"/>
      <c r="I47" s="5"/>
      <c r="J47" s="5"/>
      <c r="K47" s="5"/>
      <c r="L47" s="5"/>
    </row>
    <row r="48" spans="1:12" ht="14.25" x14ac:dyDescent="0.2">
      <c r="A48" s="6"/>
      <c r="B48" s="18"/>
      <c r="C48" s="23"/>
      <c r="E48" s="5"/>
      <c r="F48" s="5"/>
      <c r="G48" s="5"/>
      <c r="H48" s="5"/>
      <c r="I48" s="5"/>
      <c r="J48" s="5"/>
      <c r="K48" s="5"/>
      <c r="L48" s="5"/>
    </row>
    <row r="49" spans="1:12" ht="14.25" x14ac:dyDescent="0.2">
      <c r="A49" s="6"/>
      <c r="B49" s="24"/>
      <c r="C49" s="6"/>
      <c r="E49" s="5"/>
      <c r="F49" s="5"/>
      <c r="G49" s="5"/>
      <c r="H49" s="5"/>
      <c r="I49" s="5"/>
      <c r="J49" s="5"/>
      <c r="K49" s="5"/>
      <c r="L49" s="5"/>
    </row>
    <row r="50" spans="1:12" ht="14.25" x14ac:dyDescent="0.2">
      <c r="A50" s="6"/>
      <c r="B50" s="18"/>
      <c r="C50" s="23"/>
      <c r="E50" s="5"/>
      <c r="F50" s="5"/>
      <c r="G50" s="5"/>
      <c r="H50" s="5"/>
      <c r="I50" s="5"/>
      <c r="J50" s="5"/>
      <c r="K50" s="5"/>
      <c r="L50" s="5"/>
    </row>
    <row r="51" spans="1:12" ht="14.25" x14ac:dyDescent="0.2">
      <c r="A51" s="6"/>
      <c r="B51" s="24"/>
      <c r="C51" s="6"/>
      <c r="E51" s="5"/>
      <c r="F51" s="5"/>
      <c r="G51" s="5"/>
      <c r="H51" s="5"/>
      <c r="I51" s="5"/>
      <c r="J51" s="5"/>
      <c r="K51" s="5"/>
      <c r="L51" s="5"/>
    </row>
    <row r="52" spans="1:12" ht="14.25" x14ac:dyDescent="0.2">
      <c r="A52" s="6"/>
      <c r="B52" s="18"/>
      <c r="C52" s="23"/>
      <c r="E52" s="5"/>
      <c r="F52" s="5"/>
      <c r="G52" s="5"/>
      <c r="H52" s="5"/>
      <c r="I52" s="5"/>
      <c r="J52" s="5"/>
      <c r="K52" s="5"/>
      <c r="L52" s="5"/>
    </row>
    <row r="53" spans="1:12" ht="16.5" x14ac:dyDescent="0.2">
      <c r="A53" s="21"/>
      <c r="B53" s="5"/>
      <c r="C53" s="5"/>
      <c r="E53" s="5"/>
      <c r="F53" s="5"/>
      <c r="G53" s="5"/>
      <c r="H53" s="5"/>
      <c r="I53" s="5"/>
      <c r="J53" s="5"/>
      <c r="K53" s="5"/>
      <c r="L53" s="5"/>
    </row>
    <row r="54" spans="1:12" x14ac:dyDescent="0.2">
      <c r="A54" s="5"/>
      <c r="B54" s="5"/>
      <c r="C54" s="5"/>
      <c r="E54" s="5"/>
      <c r="F54" s="5"/>
      <c r="G54" s="5"/>
      <c r="H54" s="5"/>
      <c r="I54" s="5"/>
      <c r="J54" s="5"/>
      <c r="K54" s="5"/>
      <c r="L54" s="5"/>
    </row>
    <row r="55" spans="1:12" x14ac:dyDescent="0.2">
      <c r="A55" s="5"/>
      <c r="B55" s="5"/>
      <c r="C55" s="5"/>
      <c r="E55" s="5"/>
      <c r="F55" s="5"/>
      <c r="G55" s="5"/>
      <c r="H55" s="5"/>
      <c r="I55" s="5"/>
      <c r="J55" s="5"/>
      <c r="K55" s="5"/>
      <c r="L55" s="5"/>
    </row>
    <row r="56" spans="1:12" x14ac:dyDescent="0.2">
      <c r="A56" s="25"/>
      <c r="B56" s="5"/>
      <c r="C56" s="5"/>
      <c r="E56" s="5"/>
      <c r="F56" s="5"/>
      <c r="G56" s="5"/>
      <c r="H56" s="5"/>
      <c r="I56" s="5"/>
      <c r="J56" s="5"/>
      <c r="K56" s="5"/>
      <c r="L56" s="5"/>
    </row>
    <row r="57" spans="1:12" x14ac:dyDescent="0.2">
      <c r="A57" s="5"/>
      <c r="B57" s="5"/>
      <c r="C57" s="5"/>
      <c r="E57" s="5"/>
    </row>
    <row r="58" spans="1:12" x14ac:dyDescent="0.2">
      <c r="A58" s="5"/>
      <c r="B58" s="5"/>
      <c r="C58" s="5"/>
      <c r="E58" s="5"/>
    </row>
    <row r="59" spans="1:12" x14ac:dyDescent="0.2">
      <c r="A59" s="5"/>
      <c r="B59" s="5"/>
      <c r="C59" s="5"/>
      <c r="E59" s="5"/>
    </row>
    <row r="60" spans="1:12" x14ac:dyDescent="0.2">
      <c r="A60" s="5"/>
      <c r="B60" s="5"/>
      <c r="C60" s="5"/>
      <c r="E60" s="5"/>
    </row>
    <row r="61" spans="1:12" x14ac:dyDescent="0.2">
      <c r="A61" s="5"/>
      <c r="B61" s="5"/>
      <c r="C61" s="5"/>
      <c r="E61" s="5"/>
    </row>
    <row r="62" spans="1:12" x14ac:dyDescent="0.2">
      <c r="A62" s="5"/>
      <c r="B62" s="5"/>
      <c r="C62" s="5"/>
      <c r="E62" s="5"/>
    </row>
    <row r="63" spans="1:12" x14ac:dyDescent="0.2">
      <c r="A63" s="5"/>
      <c r="B63" s="5"/>
      <c r="C63" s="5"/>
      <c r="E63" s="5"/>
    </row>
    <row r="64" spans="1:12" x14ac:dyDescent="0.2">
      <c r="A64" s="5"/>
      <c r="B64" s="5"/>
      <c r="C64" s="5"/>
      <c r="E64" s="5"/>
    </row>
    <row r="65" spans="1:5" x14ac:dyDescent="0.2">
      <c r="A65" s="5"/>
      <c r="B65" s="5"/>
      <c r="C65" s="5"/>
      <c r="E65" s="5"/>
    </row>
  </sheetData>
  <mergeCells count="1">
    <mergeCell ref="A4:C4"/>
  </mergeCells>
  <pageMargins left="1.6929133858267718" right="0.51181102362204722" top="1.5354330708661419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Normal="100" workbookViewId="0">
      <selection activeCell="B28" sqref="B28"/>
    </sheetView>
  </sheetViews>
  <sheetFormatPr defaultColWidth="9.140625" defaultRowHeight="15.75" x14ac:dyDescent="0.25"/>
  <cols>
    <col min="1" max="1" width="8.5703125" style="27" customWidth="1"/>
    <col min="2" max="2" width="67.140625" style="27" customWidth="1"/>
    <col min="3" max="3" width="13.7109375" style="27" customWidth="1"/>
    <col min="4" max="4" width="10.28515625" style="27" hidden="1" customWidth="1"/>
    <col min="5" max="5" width="13.7109375" style="27" hidden="1" customWidth="1"/>
    <col min="6" max="6" width="14.42578125" style="27" hidden="1" customWidth="1"/>
    <col min="7" max="7" width="12.7109375" style="27" hidden="1" customWidth="1"/>
    <col min="8" max="8" width="4.42578125" style="27" hidden="1" customWidth="1"/>
    <col min="9" max="9" width="6.85546875" style="27" hidden="1" customWidth="1"/>
    <col min="10" max="10" width="3.28515625" style="27" hidden="1" customWidth="1"/>
    <col min="11" max="11" width="0" style="27" hidden="1" customWidth="1"/>
    <col min="12" max="16384" width="9.140625" style="27"/>
  </cols>
  <sheetData>
    <row r="1" spans="1:12" ht="33.75" customHeight="1" x14ac:dyDescent="0.25">
      <c r="A1" s="539" t="s">
        <v>260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</row>
    <row r="2" spans="1:12" ht="10.5" customHeight="1" x14ac:dyDescent="0.25"/>
    <row r="3" spans="1:12" x14ac:dyDescent="0.25">
      <c r="A3" s="481" t="s">
        <v>191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2" x14ac:dyDescent="0.25">
      <c r="A4" s="432" t="s">
        <v>261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</row>
    <row r="5" spans="1:12" ht="30.75" customHeight="1" x14ac:dyDescent="0.25">
      <c r="A5" s="540" t="s">
        <v>262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</row>
    <row r="6" spans="1:12" x14ac:dyDescent="0.25">
      <c r="A6" s="432" t="s">
        <v>263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</row>
    <row r="7" spans="1:12" ht="31.5" customHeight="1" x14ac:dyDescent="0.25">
      <c r="A7" s="540" t="s">
        <v>264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</row>
    <row r="8" spans="1:12" x14ac:dyDescent="0.25">
      <c r="A8" s="432" t="s">
        <v>265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</row>
    <row r="9" spans="1:12" x14ac:dyDescent="0.25">
      <c r="A9" s="432" t="s">
        <v>266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</row>
    <row r="10" spans="1:12" ht="16.5" thickBot="1" x14ac:dyDescent="0.3"/>
    <row r="11" spans="1:12" x14ac:dyDescent="0.25">
      <c r="B11" s="537" t="s">
        <v>212</v>
      </c>
      <c r="C11" s="538"/>
    </row>
    <row r="12" spans="1:12" x14ac:dyDescent="0.25">
      <c r="A12" s="29"/>
      <c r="B12" s="531" t="s">
        <v>190</v>
      </c>
      <c r="C12" s="532"/>
    </row>
    <row r="13" spans="1:12" x14ac:dyDescent="0.25">
      <c r="A13" s="29"/>
      <c r="B13" s="77" t="s">
        <v>114</v>
      </c>
      <c r="C13" s="62">
        <v>2086</v>
      </c>
    </row>
    <row r="14" spans="1:12" x14ac:dyDescent="0.25">
      <c r="A14" s="29"/>
      <c r="B14" s="78" t="s">
        <v>115</v>
      </c>
      <c r="C14" s="63">
        <v>2019</v>
      </c>
    </row>
    <row r="15" spans="1:12" x14ac:dyDescent="0.25">
      <c r="A15" s="29"/>
      <c r="B15" s="79" t="s">
        <v>116</v>
      </c>
      <c r="C15" s="64">
        <v>44</v>
      </c>
    </row>
    <row r="16" spans="1:12" x14ac:dyDescent="0.25">
      <c r="A16" s="29"/>
      <c r="B16" s="79" t="s">
        <v>117</v>
      </c>
      <c r="C16" s="64">
        <v>1184</v>
      </c>
    </row>
    <row r="17" spans="1:7" x14ac:dyDescent="0.25">
      <c r="A17" s="29"/>
      <c r="B17" s="79" t="s">
        <v>118</v>
      </c>
      <c r="C17" s="64">
        <v>370</v>
      </c>
    </row>
    <row r="18" spans="1:7" x14ac:dyDescent="0.25">
      <c r="A18" s="29"/>
      <c r="B18" s="79" t="s">
        <v>119</v>
      </c>
      <c r="C18" s="64">
        <v>22</v>
      </c>
    </row>
    <row r="19" spans="1:7" x14ac:dyDescent="0.25">
      <c r="A19" s="29"/>
      <c r="B19" s="79" t="s">
        <v>120</v>
      </c>
      <c r="C19" s="64">
        <v>348</v>
      </c>
    </row>
    <row r="20" spans="1:7" x14ac:dyDescent="0.25">
      <c r="A20" s="29"/>
      <c r="B20" s="79" t="s">
        <v>121</v>
      </c>
      <c r="C20" s="64">
        <v>1</v>
      </c>
    </row>
    <row r="21" spans="1:7" x14ac:dyDescent="0.25">
      <c r="A21" s="29"/>
      <c r="B21" s="79" t="s">
        <v>122</v>
      </c>
      <c r="C21" s="64">
        <v>30</v>
      </c>
    </row>
    <row r="22" spans="1:7" x14ac:dyDescent="0.25">
      <c r="A22" s="29"/>
      <c r="B22" s="80" t="s">
        <v>123</v>
      </c>
      <c r="C22" s="65">
        <v>0</v>
      </c>
    </row>
    <row r="23" spans="1:7" x14ac:dyDescent="0.25">
      <c r="A23" s="29" t="s">
        <v>124</v>
      </c>
      <c r="B23" s="533" t="s">
        <v>258</v>
      </c>
      <c r="C23" s="534"/>
    </row>
    <row r="24" spans="1:7" x14ac:dyDescent="0.25">
      <c r="A24" s="29"/>
      <c r="B24" s="81" t="s">
        <v>475</v>
      </c>
      <c r="C24" s="66">
        <v>0</v>
      </c>
    </row>
    <row r="25" spans="1:7" x14ac:dyDescent="0.25">
      <c r="A25" s="29"/>
      <c r="B25" s="79" t="s">
        <v>476</v>
      </c>
      <c r="C25" s="64">
        <v>67</v>
      </c>
    </row>
    <row r="26" spans="1:7" x14ac:dyDescent="0.25">
      <c r="B26" s="80" t="s">
        <v>477</v>
      </c>
      <c r="C26" s="65">
        <v>67</v>
      </c>
    </row>
    <row r="27" spans="1:7" x14ac:dyDescent="0.25">
      <c r="B27" s="535"/>
      <c r="C27" s="536"/>
    </row>
    <row r="28" spans="1:7" x14ac:dyDescent="0.25">
      <c r="B28" s="82" t="s">
        <v>125</v>
      </c>
      <c r="C28" s="68">
        <f>MEDIAN(C13,C14)/MEDIAN(C24,C25)</f>
        <v>61.268656716417908</v>
      </c>
      <c r="G28" s="27">
        <f>12/C28</f>
        <v>0.19585870889159562</v>
      </c>
    </row>
    <row r="29" spans="1:7" x14ac:dyDescent="0.25">
      <c r="B29" s="83" t="s">
        <v>126</v>
      </c>
      <c r="C29" s="69">
        <f>C16/MEDIAN(C24,C25)</f>
        <v>35.343283582089555</v>
      </c>
    </row>
    <row r="30" spans="1:7" x14ac:dyDescent="0.25">
      <c r="B30" s="83" t="s">
        <v>127</v>
      </c>
      <c r="C30" s="70">
        <v>360</v>
      </c>
    </row>
    <row r="31" spans="1:7" x14ac:dyDescent="0.25">
      <c r="B31" s="83" t="s">
        <v>221</v>
      </c>
      <c r="C31" s="70">
        <v>10</v>
      </c>
    </row>
    <row r="32" spans="1:7" x14ac:dyDescent="0.25">
      <c r="B32" s="83" t="s">
        <v>222</v>
      </c>
      <c r="C32" s="70">
        <v>30</v>
      </c>
      <c r="G32" s="27">
        <f>TRUNC(G37)</f>
        <v>0</v>
      </c>
    </row>
    <row r="33" spans="2:11" x14ac:dyDescent="0.25">
      <c r="B33" s="83" t="s">
        <v>223</v>
      </c>
      <c r="C33" s="70">
        <v>30</v>
      </c>
    </row>
    <row r="34" spans="2:11" s="72" customFormat="1" x14ac:dyDescent="0.25">
      <c r="B34" s="83" t="s">
        <v>128</v>
      </c>
      <c r="C34" s="71">
        <f>MEDIAN(C24,C25)</f>
        <v>33.5</v>
      </c>
    </row>
    <row r="35" spans="2:11" s="72" customFormat="1" x14ac:dyDescent="0.25">
      <c r="B35" s="83" t="s">
        <v>39</v>
      </c>
      <c r="C35" s="73">
        <v>0.08</v>
      </c>
      <c r="K35" s="72">
        <f>IF(C39&gt;12,C39-12,C39)</f>
        <v>0.19585870889159562</v>
      </c>
    </row>
    <row r="36" spans="2:11" s="72" customFormat="1" x14ac:dyDescent="0.25">
      <c r="B36" s="83" t="s">
        <v>129</v>
      </c>
      <c r="C36" s="73">
        <v>0.5</v>
      </c>
      <c r="K36" s="72" t="e">
        <f>IF(#REF!&gt;12,#REF!-12,#REF!)</f>
        <v>#REF!</v>
      </c>
    </row>
    <row r="37" spans="2:11" s="72" customFormat="1" x14ac:dyDescent="0.25">
      <c r="B37" s="83" t="s">
        <v>130</v>
      </c>
      <c r="C37" s="74">
        <f>((1/C28)-TRUNC(E37))</f>
        <v>1.6321559074299635E-2</v>
      </c>
      <c r="D37" s="72">
        <f>TRUNC(E37)</f>
        <v>0</v>
      </c>
      <c r="E37" s="72">
        <f>1/C28</f>
        <v>1.6321559074299635E-2</v>
      </c>
      <c r="F37" s="72">
        <f>((1/C28)-TRUNC(E37))</f>
        <v>1.6321559074299635E-2</v>
      </c>
      <c r="G37" s="72">
        <f>12*F37</f>
        <v>0.19585870889159562</v>
      </c>
      <c r="K37" s="72" t="e">
        <f>IF(#REF!&gt;12,#REF!-12,#REF!)</f>
        <v>#REF!</v>
      </c>
    </row>
    <row r="38" spans="2:11" s="72" customFormat="1" ht="16.5" thickBot="1" x14ac:dyDescent="0.3">
      <c r="B38" s="84" t="s">
        <v>131</v>
      </c>
      <c r="C38" s="75">
        <f>30+D38</f>
        <v>30</v>
      </c>
      <c r="D38" s="72">
        <f>3*D37</f>
        <v>0</v>
      </c>
      <c r="G38" s="72">
        <f>G37/12*40/360</f>
        <v>1.8135065638110706E-3</v>
      </c>
      <c r="K38" s="72" t="e">
        <f>IF(#REF!&gt;12,#REF!-12,#REF!)</f>
        <v>#REF!</v>
      </c>
    </row>
    <row r="39" spans="2:11" s="72" customFormat="1" ht="16.5" thickBot="1" x14ac:dyDescent="0.3">
      <c r="B39" s="85" t="s">
        <v>259</v>
      </c>
      <c r="C39" s="76">
        <f>12/C28</f>
        <v>0.19585870889159562</v>
      </c>
      <c r="K39" s="72" t="e">
        <f>IF(#REF!&gt;12,#REF!-12,#REF!)</f>
        <v>#REF!</v>
      </c>
    </row>
    <row r="40" spans="2:11" x14ac:dyDescent="0.25">
      <c r="K40" s="27" t="e">
        <f t="shared" ref="K40:K41" si="0">IF(K39&gt;12,K39-12,K39)</f>
        <v>#REF!</v>
      </c>
    </row>
    <row r="41" spans="2:11" x14ac:dyDescent="0.25">
      <c r="K41" s="27" t="e">
        <f t="shared" si="0"/>
        <v>#REF!</v>
      </c>
    </row>
  </sheetData>
  <mergeCells count="12">
    <mergeCell ref="B12:C12"/>
    <mergeCell ref="B23:C23"/>
    <mergeCell ref="B27:C27"/>
    <mergeCell ref="B11:C11"/>
    <mergeCell ref="A1:L1"/>
    <mergeCell ref="A3:L3"/>
    <mergeCell ref="A4:L4"/>
    <mergeCell ref="A5:L5"/>
    <mergeCell ref="A6:L6"/>
    <mergeCell ref="A7:L7"/>
    <mergeCell ref="A8:L8"/>
    <mergeCell ref="A9:L9"/>
  </mergeCells>
  <pageMargins left="0.90551181102362199" right="0.51181102362204722" top="0.74803149606299213" bottom="0.74803149606299213" header="0.31496062992125984" footer="0.31496062992125984"/>
  <pageSetup paperSize="9" scale="90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I24" sqref="I24"/>
    </sheetView>
  </sheetViews>
  <sheetFormatPr defaultColWidth="9.140625" defaultRowHeight="15.75" x14ac:dyDescent="0.25"/>
  <cols>
    <col min="1" max="1" width="41.85546875" style="27" bestFit="1" customWidth="1"/>
    <col min="2" max="2" width="5.5703125" style="27" bestFit="1" customWidth="1"/>
    <col min="3" max="3" width="9.140625" style="27"/>
    <col min="4" max="4" width="9.7109375" style="27" bestFit="1" customWidth="1"/>
    <col min="5" max="5" width="8" style="37" bestFit="1" customWidth="1"/>
    <col min="6" max="6" width="9.7109375" style="27" bestFit="1" customWidth="1"/>
    <col min="7" max="16384" width="9.140625" style="27"/>
  </cols>
  <sheetData>
    <row r="1" spans="1:8" x14ac:dyDescent="0.25">
      <c r="A1" s="544" t="s">
        <v>189</v>
      </c>
      <c r="B1" s="544"/>
      <c r="C1" s="544"/>
      <c r="D1" s="544"/>
      <c r="E1" s="544"/>
      <c r="F1" s="544"/>
    </row>
    <row r="2" spans="1:8" ht="16.5" thickBot="1" x14ac:dyDescent="0.3">
      <c r="A2" s="545" t="s">
        <v>254</v>
      </c>
      <c r="B2" s="545"/>
      <c r="C2" s="545"/>
      <c r="D2" s="545"/>
      <c r="E2" s="545"/>
      <c r="F2" s="545"/>
    </row>
    <row r="3" spans="1:8" ht="16.5" thickBot="1" x14ac:dyDescent="0.3">
      <c r="A3" s="541" t="s">
        <v>255</v>
      </c>
      <c r="B3" s="542"/>
      <c r="C3" s="542"/>
      <c r="D3" s="542"/>
      <c r="E3" s="542"/>
      <c r="F3" s="543"/>
    </row>
    <row r="4" spans="1:8" s="47" customFormat="1" ht="12" customHeight="1" x14ac:dyDescent="0.2">
      <c r="A4" s="553" t="s">
        <v>133</v>
      </c>
      <c r="B4" s="551" t="s">
        <v>256</v>
      </c>
      <c r="C4" s="551" t="s">
        <v>134</v>
      </c>
      <c r="D4" s="557" t="s">
        <v>224</v>
      </c>
      <c r="E4" s="557"/>
      <c r="F4" s="558"/>
    </row>
    <row r="5" spans="1:8" s="47" customFormat="1" ht="15.75" customHeight="1" thickBot="1" x14ac:dyDescent="0.25">
      <c r="A5" s="554"/>
      <c r="B5" s="552"/>
      <c r="C5" s="552"/>
      <c r="D5" s="49" t="s">
        <v>181</v>
      </c>
      <c r="E5" s="49" t="s">
        <v>182</v>
      </c>
      <c r="F5" s="50" t="s">
        <v>183</v>
      </c>
    </row>
    <row r="6" spans="1:8" x14ac:dyDescent="0.25">
      <c r="A6" s="30" t="s">
        <v>70</v>
      </c>
      <c r="B6" s="31" t="s">
        <v>71</v>
      </c>
      <c r="C6" s="55">
        <v>5.0799999999999998E-2</v>
      </c>
      <c r="D6" s="51">
        <v>2.9700000000000001E-2</v>
      </c>
      <c r="E6" s="51">
        <v>5.0799999999999998E-2</v>
      </c>
      <c r="F6" s="52">
        <v>6.2700000000000006E-2</v>
      </c>
    </row>
    <row r="7" spans="1:8" x14ac:dyDescent="0.25">
      <c r="A7" s="32" t="s">
        <v>72</v>
      </c>
      <c r="B7" s="33" t="s">
        <v>73</v>
      </c>
      <c r="C7" s="56">
        <v>1.7000000000000001E-2</v>
      </c>
      <c r="D7" s="44">
        <f>0.3%+0.56%</f>
        <v>8.6E-3</v>
      </c>
      <c r="E7" s="44">
        <f>0.48%+0.85%</f>
        <v>1.3299999999999999E-2</v>
      </c>
      <c r="F7" s="45">
        <f>0.82%+0.89%</f>
        <v>1.7099999999999997E-2</v>
      </c>
    </row>
    <row r="8" spans="1:8" x14ac:dyDescent="0.25">
      <c r="A8" s="32" t="s">
        <v>74</v>
      </c>
      <c r="B8" s="33" t="s">
        <v>75</v>
      </c>
      <c r="C8" s="56">
        <v>0.1085</v>
      </c>
      <c r="D8" s="44">
        <v>7.7799999999999994E-2</v>
      </c>
      <c r="E8" s="44">
        <v>0.1085</v>
      </c>
      <c r="F8" s="45">
        <v>0.13550000000000001</v>
      </c>
    </row>
    <row r="9" spans="1:8" x14ac:dyDescent="0.25">
      <c r="A9" s="32" t="s">
        <v>76</v>
      </c>
      <c r="B9" s="33" t="s">
        <v>77</v>
      </c>
      <c r="C9" s="57">
        <f>(1+E9)^(E10/252)-1</f>
        <v>4.0600141782312082E-3</v>
      </c>
      <c r="D9" s="44"/>
      <c r="E9" s="56">
        <v>0.1075</v>
      </c>
      <c r="F9" s="45"/>
    </row>
    <row r="10" spans="1:8" x14ac:dyDescent="0.25">
      <c r="A10" s="32" t="s">
        <v>78</v>
      </c>
      <c r="B10" s="555" t="s">
        <v>79</v>
      </c>
      <c r="C10" s="56">
        <v>0.03</v>
      </c>
      <c r="D10" s="42"/>
      <c r="E10" s="40">
        <v>10</v>
      </c>
      <c r="F10" s="46"/>
    </row>
    <row r="11" spans="1:8" ht="16.5" thickBot="1" x14ac:dyDescent="0.3">
      <c r="A11" s="35" t="s">
        <v>80</v>
      </c>
      <c r="B11" s="556"/>
      <c r="C11" s="58">
        <v>3.6499999999999998E-2</v>
      </c>
      <c r="D11" s="53"/>
      <c r="E11" s="53"/>
      <c r="F11" s="54"/>
      <c r="H11" s="392"/>
    </row>
    <row r="12" spans="1:8" x14ac:dyDescent="0.25">
      <c r="A12" s="548" t="s">
        <v>257</v>
      </c>
      <c r="B12" s="549"/>
      <c r="C12" s="549"/>
      <c r="D12" s="549"/>
      <c r="E12" s="549"/>
      <c r="F12" s="550"/>
    </row>
    <row r="13" spans="1:8" ht="16.5" thickBot="1" x14ac:dyDescent="0.3">
      <c r="A13" s="548" t="s">
        <v>81</v>
      </c>
      <c r="B13" s="549"/>
      <c r="C13" s="549"/>
      <c r="D13" s="549"/>
      <c r="E13" s="549"/>
      <c r="F13" s="550"/>
    </row>
    <row r="14" spans="1:8" ht="16.5" thickBot="1" x14ac:dyDescent="0.3">
      <c r="A14" s="38" t="s">
        <v>82</v>
      </c>
      <c r="B14" s="546">
        <f>ROUND((((1+C6+C7)*(1+C8)*(1+C9))/(1-(C10+C11))-1),4)</f>
        <v>0.27310000000000001</v>
      </c>
      <c r="C14" s="547"/>
      <c r="D14" s="59">
        <v>0.21429999999999999</v>
      </c>
      <c r="E14" s="59">
        <v>0.2717</v>
      </c>
      <c r="F14" s="60">
        <v>0.3362</v>
      </c>
    </row>
    <row r="16" spans="1:8" ht="16.5" thickBot="1" x14ac:dyDescent="0.3">
      <c r="A16" s="545"/>
      <c r="B16" s="545"/>
      <c r="C16" s="545"/>
      <c r="D16" s="545"/>
      <c r="E16" s="545"/>
      <c r="F16" s="545"/>
    </row>
    <row r="17" spans="1:6" ht="16.5" thickBot="1" x14ac:dyDescent="0.3">
      <c r="A17" s="541" t="s">
        <v>336</v>
      </c>
      <c r="B17" s="542"/>
      <c r="C17" s="542"/>
      <c r="D17" s="542"/>
      <c r="E17" s="542"/>
      <c r="F17" s="543"/>
    </row>
    <row r="18" spans="1:6" x14ac:dyDescent="0.25">
      <c r="A18" s="553" t="s">
        <v>133</v>
      </c>
      <c r="B18" s="551" t="s">
        <v>256</v>
      </c>
      <c r="C18" s="551" t="s">
        <v>134</v>
      </c>
      <c r="D18" s="557" t="s">
        <v>224</v>
      </c>
      <c r="E18" s="557"/>
      <c r="F18" s="558"/>
    </row>
    <row r="19" spans="1:6" ht="16.5" thickBot="1" x14ac:dyDescent="0.3">
      <c r="A19" s="554"/>
      <c r="B19" s="552"/>
      <c r="C19" s="552"/>
      <c r="D19" s="49" t="s">
        <v>181</v>
      </c>
      <c r="E19" s="49" t="s">
        <v>182</v>
      </c>
      <c r="F19" s="50" t="s">
        <v>183</v>
      </c>
    </row>
    <row r="20" spans="1:6" x14ac:dyDescent="0.25">
      <c r="A20" s="30" t="s">
        <v>70</v>
      </c>
      <c r="B20" s="31" t="s">
        <v>71</v>
      </c>
      <c r="C20" s="55">
        <v>5.0799999999999998E-2</v>
      </c>
      <c r="D20" s="51">
        <v>2.9700000000000001E-2</v>
      </c>
      <c r="E20" s="51">
        <v>5.0799999999999998E-2</v>
      </c>
      <c r="F20" s="52">
        <v>6.2700000000000006E-2</v>
      </c>
    </row>
    <row r="21" spans="1:6" x14ac:dyDescent="0.25">
      <c r="A21" s="32" t="s">
        <v>72</v>
      </c>
      <c r="B21" s="340" t="s">
        <v>73</v>
      </c>
      <c r="C21" s="56">
        <v>1.7000000000000001E-2</v>
      </c>
      <c r="D21" s="44">
        <f>0.3%+0.56%</f>
        <v>8.6E-3</v>
      </c>
      <c r="E21" s="44">
        <f>0.48%+0.85%</f>
        <v>1.3299999999999999E-2</v>
      </c>
      <c r="F21" s="45">
        <f>0.82%+0.89%</f>
        <v>1.7099999999999997E-2</v>
      </c>
    </row>
    <row r="22" spans="1:6" x14ac:dyDescent="0.25">
      <c r="A22" s="32" t="s">
        <v>74</v>
      </c>
      <c r="B22" s="340" t="s">
        <v>75</v>
      </c>
      <c r="C22" s="56">
        <v>0.1085</v>
      </c>
      <c r="D22" s="44">
        <v>7.7799999999999994E-2</v>
      </c>
      <c r="E22" s="44">
        <v>0.1085</v>
      </c>
      <c r="F22" s="45">
        <v>0.13550000000000001</v>
      </c>
    </row>
    <row r="23" spans="1:6" x14ac:dyDescent="0.25">
      <c r="A23" s="32" t="s">
        <v>76</v>
      </c>
      <c r="B23" s="340" t="s">
        <v>77</v>
      </c>
      <c r="C23" s="57">
        <f>(1+E23)^(E24/252)-1</f>
        <v>4.0600141782312082E-3</v>
      </c>
      <c r="D23" s="44"/>
      <c r="E23" s="39">
        <v>0.1075</v>
      </c>
      <c r="F23" s="45"/>
    </row>
    <row r="24" spans="1:6" x14ac:dyDescent="0.25">
      <c r="A24" s="32" t="s">
        <v>78</v>
      </c>
      <c r="B24" s="555" t="s">
        <v>79</v>
      </c>
      <c r="C24" s="56">
        <v>0.03</v>
      </c>
      <c r="D24" s="42"/>
      <c r="E24" s="40">
        <v>10</v>
      </c>
      <c r="F24" s="46"/>
    </row>
    <row r="25" spans="1:6" ht="16.5" thickBot="1" x14ac:dyDescent="0.3">
      <c r="A25" s="35" t="s">
        <v>80</v>
      </c>
      <c r="B25" s="556"/>
      <c r="C25" s="58">
        <v>3.6499999999999998E-2</v>
      </c>
      <c r="D25" s="53"/>
      <c r="E25" s="53"/>
      <c r="F25" s="54"/>
    </row>
    <row r="26" spans="1:6" x14ac:dyDescent="0.25">
      <c r="A26" s="548" t="s">
        <v>257</v>
      </c>
      <c r="B26" s="549"/>
      <c r="C26" s="549"/>
      <c r="D26" s="549"/>
      <c r="E26" s="549"/>
      <c r="F26" s="550"/>
    </row>
    <row r="27" spans="1:6" ht="16.5" thickBot="1" x14ac:dyDescent="0.3">
      <c r="A27" s="548" t="s">
        <v>81</v>
      </c>
      <c r="B27" s="549"/>
      <c r="C27" s="549"/>
      <c r="D27" s="549"/>
      <c r="E27" s="549"/>
      <c r="F27" s="550"/>
    </row>
    <row r="28" spans="1:6" ht="16.5" thickBot="1" x14ac:dyDescent="0.3">
      <c r="A28" s="38" t="s">
        <v>82</v>
      </c>
      <c r="B28" s="546">
        <f>ROUND((((1+C20+C21)*(1+C22)*(1+C23))/(1-(C24+C25))-1),4)</f>
        <v>0.27310000000000001</v>
      </c>
      <c r="C28" s="547"/>
      <c r="D28" s="59">
        <v>0.21429999999999999</v>
      </c>
      <c r="E28" s="59">
        <v>0.2717</v>
      </c>
      <c r="F28" s="60">
        <v>0.3362</v>
      </c>
    </row>
  </sheetData>
  <mergeCells count="21">
    <mergeCell ref="B24:B25"/>
    <mergeCell ref="A26:F26"/>
    <mergeCell ref="A27:F27"/>
    <mergeCell ref="B28:C28"/>
    <mergeCell ref="A16:F16"/>
    <mergeCell ref="A17:F17"/>
    <mergeCell ref="A18:A19"/>
    <mergeCell ref="B18:B19"/>
    <mergeCell ref="C18:C19"/>
    <mergeCell ref="D18:F18"/>
    <mergeCell ref="A3:F3"/>
    <mergeCell ref="A1:F1"/>
    <mergeCell ref="A2:F2"/>
    <mergeCell ref="B14:C14"/>
    <mergeCell ref="A12:F12"/>
    <mergeCell ref="A13:F13"/>
    <mergeCell ref="C4:C5"/>
    <mergeCell ref="B4:B5"/>
    <mergeCell ref="A4:A5"/>
    <mergeCell ref="B10:B11"/>
    <mergeCell ref="D4:F4"/>
  </mergeCells>
  <pageMargins left="0.9055118110236221" right="0.51181102362204722" top="2.3228346456692917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15</vt:i4>
      </vt:variant>
    </vt:vector>
  </HeadingPairs>
  <TitlesOfParts>
    <vt:vector size="27" baseType="lpstr">
      <vt:lpstr>Orçamento</vt:lpstr>
      <vt:lpstr>Cronograma</vt:lpstr>
      <vt:lpstr>1.1.Coleta Resíduos Orgânicos</vt:lpstr>
      <vt:lpstr>1.2.Coleta Resíduos Recicláveis</vt:lpstr>
      <vt:lpstr>1.3.Triagem com Transbordo</vt:lpstr>
      <vt:lpstr>1.4.Destino final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'1.1.Coleta Resíduos Orgânicos'!Area_de_impressao</vt:lpstr>
      <vt:lpstr>'1.2.Coleta Resíduos Recicláveis'!Area_de_impressao</vt:lpstr>
      <vt:lpstr>'1.3.Triagem com Transbordo'!Area_de_impressao</vt:lpstr>
      <vt:lpstr>'1.4.Destino final'!Area_de_impressao</vt:lpstr>
      <vt:lpstr>'2.Encargos Sociais'!Area_de_impressao</vt:lpstr>
      <vt:lpstr>Cronograma!Area_de_impressao</vt:lpstr>
      <vt:lpstr>Orçamento!Area_de_impressao</vt:lpstr>
      <vt:lpstr>'1.1.Coleta Resíduos Orgânicos'!Titulos_de_impressao</vt:lpstr>
      <vt:lpstr>'1.2.Coleta Resíduos Recicláveis'!Titulos_de_impressao</vt:lpstr>
      <vt:lpstr>'1.3.Triagem com Transbordo'!Titulos_de_impressao</vt:lpstr>
      <vt:lpstr>'1.4.Destino final'!Titulos_de_impressao</vt:lpstr>
      <vt:lpstr>Cronograma!Titulos_de_impressao</vt:lpstr>
      <vt:lpstr>Orçamento!Titulos_de_impressao</vt:lpstr>
    </vt:vector>
  </TitlesOfParts>
  <Company>PM Arroio do Meio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Nívia Fuchs</dc:creator>
  <cp:lastModifiedBy>User</cp:lastModifiedBy>
  <cp:lastPrinted>2021-09-30T17:09:19Z</cp:lastPrinted>
  <dcterms:created xsi:type="dcterms:W3CDTF">2000-12-13T10:02:50Z</dcterms:created>
  <dcterms:modified xsi:type="dcterms:W3CDTF">2022-04-04T12:00:53Z</dcterms:modified>
</cp:coreProperties>
</file>